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11" activeTab="48"/>
  </bookViews>
  <sheets>
    <sheet name="ORÇAMENTO GERAL" sheetId="1" r:id="rId1"/>
    <sheet name="CRONOGRAMA GERAL" sheetId="2" r:id="rId2"/>
    <sheet name="COMP.1" sheetId="3" r:id="rId3"/>
    <sheet name="COMP.2" sheetId="4" r:id="rId4"/>
    <sheet name="COMP.3" sheetId="5" r:id="rId5"/>
    <sheet name="COMP.4" sheetId="6" r:id="rId6"/>
    <sheet name="COMP.5" sheetId="7" r:id="rId7"/>
    <sheet name="COMP.6" sheetId="8" r:id="rId8"/>
    <sheet name="COMP.7" sheetId="9" r:id="rId9"/>
    <sheet name="COMP.8" sheetId="10" r:id="rId10"/>
    <sheet name="COMP.9" sheetId="11" r:id="rId11"/>
    <sheet name="COMP.10" sheetId="12" r:id="rId12"/>
    <sheet name="COMP.11" sheetId="13" r:id="rId13"/>
    <sheet name="COMP.12" sheetId="14" r:id="rId14"/>
    <sheet name="COMP.13" sheetId="15" r:id="rId15"/>
    <sheet name="COMP.14" sheetId="16" r:id="rId16"/>
    <sheet name="COMP.15" sheetId="17" r:id="rId17"/>
    <sheet name="COMP.16" sheetId="18" r:id="rId18"/>
    <sheet name="COMP.17" sheetId="19" r:id="rId19"/>
    <sheet name="COMP.18" sheetId="20" r:id="rId20"/>
    <sheet name="COMP.19" sheetId="21" r:id="rId21"/>
    <sheet name="COMP.20" sheetId="22" r:id="rId22"/>
    <sheet name="COMP.21" sheetId="23" r:id="rId23"/>
    <sheet name="COMP.22" sheetId="24" r:id="rId24"/>
    <sheet name="COMP.23" sheetId="25" r:id="rId25"/>
    <sheet name="COMP.24" sheetId="26" r:id="rId26"/>
    <sheet name="COMP.25" sheetId="27" r:id="rId27"/>
    <sheet name="COMP.26" sheetId="28" r:id="rId28"/>
    <sheet name="COMP.27" sheetId="29" r:id="rId29"/>
    <sheet name="COMP.28" sheetId="30" r:id="rId30"/>
    <sheet name="COMP.29" sheetId="31" r:id="rId31"/>
    <sheet name="COMP.30" sheetId="32" r:id="rId32"/>
    <sheet name="COMP.31" sheetId="33" r:id="rId33"/>
    <sheet name="Gráf1" sheetId="34" r:id="rId34"/>
    <sheet name="COMP.32" sheetId="35" r:id="rId35"/>
    <sheet name="COMP.33" sheetId="36" r:id="rId36"/>
    <sheet name="COMP.34" sheetId="37" r:id="rId37"/>
    <sheet name="COMP.35" sheetId="38" r:id="rId38"/>
    <sheet name="COMP.36" sheetId="39" r:id="rId39"/>
    <sheet name="COMP.37" sheetId="40" r:id="rId40"/>
    <sheet name="COMP.38" sheetId="41" r:id="rId41"/>
    <sheet name="COMP.39" sheetId="42" r:id="rId42"/>
    <sheet name="COMP.40" sheetId="43" r:id="rId43"/>
    <sheet name="COMP.41" sheetId="44" r:id="rId44"/>
    <sheet name="COMP.42" sheetId="45" r:id="rId45"/>
    <sheet name="COMP.43" sheetId="46" r:id="rId46"/>
    <sheet name="COMP.44" sheetId="47" r:id="rId47"/>
    <sheet name="COMP.45" sheetId="48" r:id="rId48"/>
    <sheet name="Plan1" sheetId="49" r:id="rId49"/>
  </sheets>
  <definedNames>
    <definedName name="_xlnm.Print_Area" localSheetId="2">'COMP.1'!$A$1:$K$20</definedName>
    <definedName name="_xlnm.Print_Area" localSheetId="11">'COMP.10'!$A$1:$K$23</definedName>
    <definedName name="_xlnm.Print_Area" localSheetId="12">'COMP.11'!$A$1:$K$23</definedName>
    <definedName name="_xlnm.Print_Area" localSheetId="13">'COMP.12'!$A$1:$K$23</definedName>
    <definedName name="_xlnm.Print_Area" localSheetId="14">'COMP.13'!$A$1:$K$23</definedName>
    <definedName name="_xlnm.Print_Area" localSheetId="15">'COMP.14'!$A$1:$K$23</definedName>
    <definedName name="_xlnm.Print_Area" localSheetId="16">'COMP.15'!$A$1:$K$23</definedName>
    <definedName name="_xlnm.Print_Area" localSheetId="17">'COMP.16'!$A$1:$K$23</definedName>
    <definedName name="_xlnm.Print_Area" localSheetId="18">'COMP.17'!$A$1:$K$23</definedName>
    <definedName name="_xlnm.Print_Area" localSheetId="19">'COMP.18'!$A$1:$K$22</definedName>
    <definedName name="_xlnm.Print_Area" localSheetId="20">'COMP.19'!$A$1:$K$25</definedName>
    <definedName name="_xlnm.Print_Area" localSheetId="3">'COMP.2'!$A$1:$K$19</definedName>
    <definedName name="_xlnm.Print_Area" localSheetId="21">'COMP.20'!$A$1:$K$25</definedName>
    <definedName name="_xlnm.Print_Area" localSheetId="22">'COMP.21'!$A$1:$K$21</definedName>
    <definedName name="_xlnm.Print_Area" localSheetId="23">'COMP.22'!$A$1:$K$21</definedName>
    <definedName name="_xlnm.Print_Area" localSheetId="24">'COMP.23'!$A$1:$K$23</definedName>
    <definedName name="_xlnm.Print_Area" localSheetId="25">'COMP.24'!$A$1:$K$21</definedName>
    <definedName name="_xlnm.Print_Area" localSheetId="26">'COMP.25'!$A$1:$K$23</definedName>
    <definedName name="_xlnm.Print_Area" localSheetId="27">'COMP.26'!$A$1:$K$23</definedName>
    <definedName name="_xlnm.Print_Area" localSheetId="28">'COMP.27'!$A$1:$K$23</definedName>
    <definedName name="_xlnm.Print_Area" localSheetId="29">'COMP.28'!$A$1:$K$23</definedName>
    <definedName name="_xlnm.Print_Area" localSheetId="30">'COMP.29'!$A$1:$K$23</definedName>
    <definedName name="_xlnm.Print_Area" localSheetId="4">'COMP.3'!$A$1:$K$24</definedName>
    <definedName name="_xlnm.Print_Area" localSheetId="31">'COMP.30'!$A$1:$K$23</definedName>
    <definedName name="_xlnm.Print_Area" localSheetId="32">'COMP.31'!$A$1:$K$26</definedName>
    <definedName name="_xlnm.Print_Area" localSheetId="34">'COMP.32'!$A$1:$K$35</definedName>
    <definedName name="_xlnm.Print_Area" localSheetId="35">'COMP.33'!$A$1:$K$24</definedName>
    <definedName name="_xlnm.Print_Area" localSheetId="36">'COMP.34'!$A$1:$K$20</definedName>
    <definedName name="_xlnm.Print_Area" localSheetId="37">'COMP.35'!$A$1:$K$21</definedName>
    <definedName name="_xlnm.Print_Area" localSheetId="38">'COMP.36'!$A$1:$K$24</definedName>
    <definedName name="_xlnm.Print_Area" localSheetId="39">'COMP.37'!$A$1:$K$28</definedName>
    <definedName name="_xlnm.Print_Area" localSheetId="40">'COMP.38'!$A$1:$K$19</definedName>
    <definedName name="_xlnm.Print_Area" localSheetId="41">'COMP.39'!$A$1:$K$19</definedName>
    <definedName name="_xlnm.Print_Area" localSheetId="5">'COMP.4'!$A$1:$K$20</definedName>
    <definedName name="_xlnm.Print_Area" localSheetId="42">'COMP.40'!$A$1:$K$20</definedName>
    <definedName name="_xlnm.Print_Area" localSheetId="43">'COMP.41'!$A$1:$K$21</definedName>
    <definedName name="_xlnm.Print_Area" localSheetId="44">'COMP.42'!$A$1:$K$19</definedName>
    <definedName name="_xlnm.Print_Area" localSheetId="45">'COMP.43'!$A$1:$K$24</definedName>
    <definedName name="_xlnm.Print_Area" localSheetId="46">'COMP.44'!$A$1:$K$22</definedName>
    <definedName name="_xlnm.Print_Area" localSheetId="47">'COMP.45'!$A$1:$K$22</definedName>
    <definedName name="_xlnm.Print_Area" localSheetId="6">'COMP.5'!$A$1:$K$23</definedName>
    <definedName name="_xlnm.Print_Area" localSheetId="7">'COMP.6'!$A$1:$K$23</definedName>
    <definedName name="_xlnm.Print_Area" localSheetId="8">'COMP.7'!$A$1:$K$23</definedName>
    <definedName name="_xlnm.Print_Area" localSheetId="9">'COMP.8'!$A$1:$K$23</definedName>
    <definedName name="_xlnm.Print_Area" localSheetId="10">'COMP.9'!$A$1:$K$23</definedName>
    <definedName name="_xlnm.Print_Area" localSheetId="1">'CRONOGRAMA GERAL'!$A$1:$Q$42</definedName>
    <definedName name="_xlnm.Print_Area" localSheetId="0">'ORÇAMENTO GERAL'!$B$1:$Q$196</definedName>
  </definedNames>
  <calcPr fullCalcOnLoad="1"/>
</workbook>
</file>

<file path=xl/sharedStrings.xml><?xml version="1.0" encoding="utf-8"?>
<sst xmlns="http://schemas.openxmlformats.org/spreadsheetml/2006/main" count="2918" uniqueCount="817">
  <si>
    <t>ITEM</t>
  </si>
  <si>
    <t>UN</t>
  </si>
  <si>
    <t>TOTAL I</t>
  </si>
  <si>
    <t>2.1</t>
  </si>
  <si>
    <t>2.2</t>
  </si>
  <si>
    <t>TOTAL II</t>
  </si>
  <si>
    <t>TOTAL</t>
  </si>
  <si>
    <t>MÃO DE OBRA</t>
  </si>
  <si>
    <t xml:space="preserve">PREÇO TOTAL  </t>
  </si>
  <si>
    <t>DESCRIÇÃO DO SERVIÇO</t>
  </si>
  <si>
    <t>QUANT.</t>
  </si>
  <si>
    <t>PREÇO UNITÁRIO</t>
  </si>
  <si>
    <t>PREÇO TOTAL</t>
  </si>
  <si>
    <t xml:space="preserve">MATERIAL    </t>
  </si>
  <si>
    <t>1.0</t>
  </si>
  <si>
    <t>2.0</t>
  </si>
  <si>
    <t>Responsavel Técnico:</t>
  </si>
  <si>
    <t>R</t>
  </si>
  <si>
    <t>FONTE</t>
  </si>
  <si>
    <t>M2</t>
  </si>
  <si>
    <t>CÓDIGO</t>
  </si>
  <si>
    <t>UNID.</t>
  </si>
  <si>
    <t>KG</t>
  </si>
  <si>
    <t>bdi</t>
  </si>
  <si>
    <t>mo</t>
  </si>
  <si>
    <t>H</t>
  </si>
  <si>
    <t>MATERIAIS</t>
  </si>
  <si>
    <t>2.3</t>
  </si>
  <si>
    <t>FRIZZO engenharia • arquitetura • urbanismo</t>
  </si>
  <si>
    <t>RUA INDEPENDÊNCIA 110, SALA 24 - TEL: (55) 3781-1965</t>
  </si>
  <si>
    <t>EMAIL: eng.eugenio.frizzo@gmail.com</t>
  </si>
  <si>
    <t>SANTO AUGUSTO - RS</t>
  </si>
  <si>
    <t xml:space="preserve"> Ampliação e Reforma da Sede da Secretaria de Obras do Município de Augusto Pestana</t>
  </si>
  <si>
    <t>un</t>
  </si>
  <si>
    <t>1.1</t>
  </si>
  <si>
    <t>CHAPA DE ACO GROSSA, ASTM A36, E = 1/2 " (12,70 MM) 99,59 KG/M2</t>
  </si>
  <si>
    <t>88278</t>
  </si>
  <si>
    <t>MONTADOR DE ESTRUTURA METÁLICA COM ENCARGOS COMPLEMENTARES  - INCLUSIVE FABRICAÇÃO</t>
  </si>
  <si>
    <t>CHUMBADOR DE ACO, DIAMETRO 1/2", COMPRIMENTO 75 MM</t>
  </si>
  <si>
    <t>74064/1</t>
  </si>
  <si>
    <t>FUNDO ANTICORROSIVO A BASE DE OXIDO DE FERRO (ZARCAO), DUAS DEMAOS</t>
  </si>
  <si>
    <t>73924/2</t>
  </si>
  <si>
    <t>PINTURA ESMALTE ACETINADO, DUAS DEMAOS, SOBRE SUPERFICIE METALICA</t>
  </si>
  <si>
    <t>COEF.</t>
  </si>
  <si>
    <t>MAO OBRA</t>
  </si>
  <si>
    <t>Perfil [ 150x50x2,65mm, de aço mecânico, ASTM A36.</t>
  </si>
  <si>
    <t>Perfil [ 140x35x2,65mm, de aço mecânico, ASTM A36.</t>
  </si>
  <si>
    <t xml:space="preserve"> PILARES METÁLICOS - COMP. 6</t>
  </si>
  <si>
    <t>Perfil [ 100x40x2,00mm, de aço mecânico, ASTM A36.</t>
  </si>
  <si>
    <t>Perfil [ 94x32x2,00mm, de aço mecânico, ASTM A36.</t>
  </si>
  <si>
    <t>VIGAS DE PLATIBANDA - COMP. 7</t>
  </si>
  <si>
    <t>Insumo</t>
  </si>
  <si>
    <t>Comp. 08</t>
  </si>
  <si>
    <t>UNITÁRIO
MÃO OBRA</t>
  </si>
  <si>
    <t>UNITÁRIO
MATERIAL</t>
  </si>
  <si>
    <t>TOTAL
MÃO DE OBRA</t>
  </si>
  <si>
    <t>TOTAL
MATERIAL</t>
  </si>
  <si>
    <t>Perfil [ 150x50x3,00mm, de aço mecânico, ASTM A36.</t>
  </si>
  <si>
    <t>Perfil [ 140x40x2,00mm, de aço mecânico, ASTM A36.</t>
  </si>
  <si>
    <t>Comp. 09</t>
  </si>
  <si>
    <t>Comp. 10</t>
  </si>
  <si>
    <t>Comp. 11</t>
  </si>
  <si>
    <t>Comp. 12</t>
  </si>
  <si>
    <t>Comp. 13</t>
  </si>
  <si>
    <t>Comp. 14</t>
  </si>
  <si>
    <t>Comp. 15</t>
  </si>
  <si>
    <t xml:space="preserve"> PILAR P1</t>
  </si>
  <si>
    <t xml:space="preserve"> PILAR P2</t>
  </si>
  <si>
    <t xml:space="preserve"> PILAR P3</t>
  </si>
  <si>
    <t xml:space="preserve"> PILAR P4</t>
  </si>
  <si>
    <t xml:space="preserve"> PILAR P5</t>
  </si>
  <si>
    <t xml:space="preserve"> PILAR P6</t>
  </si>
  <si>
    <t xml:space="preserve"> PILAR P7</t>
  </si>
  <si>
    <t xml:space="preserve"> PILAR P8</t>
  </si>
  <si>
    <t>Comp. 16</t>
  </si>
  <si>
    <t xml:space="preserve"> PILAR P1 - PRÉDIO 1 - COMP. 15</t>
  </si>
  <si>
    <t xml:space="preserve"> PILAR P8 - PRÉDIO 2 - COMP. 15</t>
  </si>
  <si>
    <t xml:space="preserve"> PILAR P7 - PRÉDIO 2 - COMP. 14</t>
  </si>
  <si>
    <t xml:space="preserve"> PILAR P6 - PRÉDIO 2 - COMP. 13</t>
  </si>
  <si>
    <t xml:space="preserve"> PILAR P5 - PRÉDIO 2 - COMP. 12</t>
  </si>
  <si>
    <t xml:space="preserve"> PILAR P4 - PRÉDIO 2 - COMP. 11</t>
  </si>
  <si>
    <t>,</t>
  </si>
  <si>
    <t xml:space="preserve"> PILAR P3 - PRÉDIO 2 - COMP. 10</t>
  </si>
  <si>
    <t xml:space="preserve"> PILAR P2 - PRÉDIO 2 - COMP. 9</t>
  </si>
  <si>
    <t xml:space="preserve"> PILAR P1 - PRÉDIO 2 - COMP. 8</t>
  </si>
  <si>
    <t>PILAR P1</t>
  </si>
  <si>
    <t>PLACA PARA CHUMBAÇÃO DOS PILARES METÁLICOS (Prédios 1 e 2) - COMP. 17</t>
  </si>
  <si>
    <t>Comp. 17</t>
  </si>
  <si>
    <t>Placa para chumbação dos pilares metálicos (Prédios 1 e 2)</t>
  </si>
  <si>
    <t>Augusto Pestana, 22 de janeiro de 2018.</t>
  </si>
  <si>
    <t>3.0</t>
  </si>
  <si>
    <t>TOTAL III</t>
  </si>
  <si>
    <t>3.1</t>
  </si>
  <si>
    <t>3.2</t>
  </si>
  <si>
    <t>3.3</t>
  </si>
  <si>
    <t>3.4</t>
  </si>
  <si>
    <t>3.5</t>
  </si>
  <si>
    <t>4.0</t>
  </si>
  <si>
    <t>4.1</t>
  </si>
  <si>
    <t>4.2</t>
  </si>
  <si>
    <t>4.3</t>
  </si>
  <si>
    <t>4.4</t>
  </si>
  <si>
    <t>TOTAL IV</t>
  </si>
  <si>
    <t>%</t>
  </si>
  <si>
    <t>94963</t>
  </si>
  <si>
    <t>92778</t>
  </si>
  <si>
    <t>CONCRETO FCK = 15MPA, TRAÇO 1:3,4:3,5 (CIMENTO/ AREIA MÉDIA/ BRITA 1)  - PREPARO MECÂNICO COM BETONEIRA 400 L. AF_07/2016</t>
  </si>
  <si>
    <t>ARMAÇÃO DE PILAR OU VIGA DE UMA ESTRUTURA CONVENCIONAL DE CONCRETO ARMADO EM UMA EDIFÍCAÇÃO TÉRREA OU SOBRADO UTILIZANDO AÇO CA-50 DE 10.0 MM - MONTAGEM. AF_12/2015</t>
  </si>
  <si>
    <t>SINAPI</t>
  </si>
  <si>
    <t>M3</t>
  </si>
  <si>
    <t>Comp. 18</t>
  </si>
  <si>
    <t>94273</t>
  </si>
  <si>
    <t>ASSENTAMENTO DE GUIA (MEIO-FIO) EM TRECHO RETO, CONFECCIONADA EM CONCRETO PRÉ-FABRICADO, DIMENSÕES 100X15X13X30 CM (COMPRIMENTO X BASE INFERIOR X BASE SUPERIOR X ALTURA), PARA VIAS URBANAS (USO VIÁRIO). AF_06/2016</t>
  </si>
  <si>
    <t>BLOCO DE FUNDAÇÃO B01 - 80 x 80 x 60 cm - COMP. 18</t>
  </si>
  <si>
    <t>92873</t>
  </si>
  <si>
    <t>LANÇAMENTO COM USO DE BALDES, ADENSAMENTO E ACABAMENTO DE CONCRETO EM ESTRUTURAS. AF_12/2015</t>
  </si>
  <si>
    <t>73361</t>
  </si>
  <si>
    <t>CONCRETO CICLOPICO FCK=10MPA 30% PEDRA DE MAO INCLUSIVE LANCAMENTO</t>
  </si>
  <si>
    <t>SAPATA CORRIDA TIPO 1 - MUROS - COMP. 19</t>
  </si>
  <si>
    <t>92775</t>
  </si>
  <si>
    <t>ARMAÇÃO DE PILAR OU VIGA DE UMA ESTRUTURA CONVENCIONAL DE CONCRETO ARMADO EM UMA EDIFÍCAÇÃO TÉRREA OU SOBRADO UTILIZANDO AÇO CA-60 DE 5.0 MM - MONTAGEM. AF_12/2015</t>
  </si>
  <si>
    <t>SAPATA CORRIDA TIPO 2 - PRÉDIOS - COMP. 20</t>
  </si>
  <si>
    <t>Comp. 19</t>
  </si>
  <si>
    <t>Comp. 20</t>
  </si>
  <si>
    <t>BLOCO DE FUNDAÇÃO B01 - 80 x 80 x 60 cm</t>
  </si>
  <si>
    <t>SAPATA CORRIDA TIPO 1 - MUROS</t>
  </si>
  <si>
    <t>m</t>
  </si>
  <si>
    <t>SAPATA CORRIDA TIPO 2 - PRÉDIOS</t>
  </si>
  <si>
    <t>VIGA BLOCO U SOBRE MURO - COMP. 21</t>
  </si>
  <si>
    <t>COT.01</t>
  </si>
  <si>
    <t>COTAÇÃO</t>
  </si>
  <si>
    <t>TRELIÇA MODELO TG 8 L (DESIGNAÇÃO NBR 14.862: TR 08644), PESO LINEAR 0,735 KG/M, ALTURA 8 CM, BANZO SUPERIOR 6,0 MM E DIAGONAL E BANZO INFERIOR 4,2 MM</t>
  </si>
  <si>
    <t>M</t>
  </si>
  <si>
    <t>VIGA BLOCO U SOBRE MURO</t>
  </si>
  <si>
    <t>Comp. 21</t>
  </si>
  <si>
    <t>VIGA BLOCO U VERGA E CONTRAVERGA - COMP. 22</t>
  </si>
  <si>
    <t>Comp. 22</t>
  </si>
  <si>
    <t>VIGA BLOCO U VERGA E CONTRAVERGA</t>
  </si>
  <si>
    <t>VIGA BLOCO U SOBRE PAREDES - COMP. 23</t>
  </si>
  <si>
    <t>5651</t>
  </si>
  <si>
    <t>FORMA TABUA PARA CONCRETO EM FUNDACAO C/ REAPROVEITAMENTO 5X</t>
  </si>
  <si>
    <t>VIGA BLOCO U SOBRE PAREDES</t>
  </si>
  <si>
    <t>Comp. 23</t>
  </si>
  <si>
    <t>Comp. 24</t>
  </si>
  <si>
    <t>5.0</t>
  </si>
  <si>
    <t>5.1</t>
  </si>
  <si>
    <t>5.2</t>
  </si>
  <si>
    <t>TOTAL V</t>
  </si>
  <si>
    <t>m³</t>
  </si>
  <si>
    <t>Comp.1</t>
  </si>
  <si>
    <t>Concreto armado fck=15MPa, inclusive lançamento e adensamento das vigas baldrame, e vergas</t>
  </si>
  <si>
    <t>VIGA V1 - PRÉDIO 1 - COMP. 25</t>
  </si>
  <si>
    <t>Perfil [ 100x40x3,00mm, de aço mecânico, ASTM A36.</t>
  </si>
  <si>
    <t>Perfil [ 92x30x2,00mm, de aço mecânico, ASTM A36.</t>
  </si>
  <si>
    <t>VIGA V1 - PRÉDIO 2 - COMP. 26</t>
  </si>
  <si>
    <t>VIGA V01 - COB. PISTA - COMP. 27</t>
  </si>
  <si>
    <t>VIGA V01 - COB. PISTA - COMP. 28</t>
  </si>
  <si>
    <t>VIGA V1 - PRÉDIO 1</t>
  </si>
  <si>
    <t>Comp. 25</t>
  </si>
  <si>
    <t>Comp. 26</t>
  </si>
  <si>
    <t>VIGA V1 - PRÉDIO 2</t>
  </si>
  <si>
    <t>Comp. 27</t>
  </si>
  <si>
    <t>Comp. 28</t>
  </si>
  <si>
    <t>VIGA V01 - COB. PISTA</t>
  </si>
  <si>
    <t>VIGA V02 - COB. PISTA</t>
  </si>
  <si>
    <t>VIGA VP01 - COB. PISTA - COMP. 29</t>
  </si>
  <si>
    <t>VIGA VP02 - COB. PISTA - COMP. 30</t>
  </si>
  <si>
    <t>Comp. 29</t>
  </si>
  <si>
    <t>Comp. 30</t>
  </si>
  <si>
    <t>VIGA VP01 - COB. PISTA</t>
  </si>
  <si>
    <t>VIGA VP02 - COB. PISTA</t>
  </si>
  <si>
    <t>18.6</t>
  </si>
  <si>
    <t>88309</t>
  </si>
  <si>
    <t>88316</t>
  </si>
  <si>
    <t>PEDREIRO COM ENCARGOS COMPLEMENTARES</t>
  </si>
  <si>
    <t>SERVENTE COM ENCARGOS COMPLEMENTARES</t>
  </si>
  <si>
    <t>94969</t>
  </si>
  <si>
    <t>CONCRETO FCK = 15MPA, TRAÇO 1:3,4:3,5 (CIMENTO/ AREIA MÉDIA/ BRITA 1)  - PREPARO MECÂNICO COM BETONEIRA 600 L. AF_07/2016</t>
  </si>
  <si>
    <t>Comp. 31</t>
  </si>
  <si>
    <t>6.0</t>
  </si>
  <si>
    <t>6.1</t>
  </si>
  <si>
    <t>7.7</t>
  </si>
  <si>
    <t>SERVIÇO DE INSTALAÇÃO DE TUBOS DE PVC, SÉRIE R, ÁGUA PLUVIAL, DN 100 MM (INSTALADO EM RAMAL DE ENCAMINHAMENTO, OU CONDUTORES VERTICAIS), INCLUSIVE CONEXÕES, CORTES E FIXAÇÕES, PARA PRÉDIOS - COMP. 32</t>
  </si>
  <si>
    <t>89512</t>
  </si>
  <si>
    <t>89529</t>
  </si>
  <si>
    <t>89554</t>
  </si>
  <si>
    <t>89559</t>
  </si>
  <si>
    <t>89578</t>
  </si>
  <si>
    <t>89584</t>
  </si>
  <si>
    <t>89585</t>
  </si>
  <si>
    <t>89669</t>
  </si>
  <si>
    <t>89673</t>
  </si>
  <si>
    <t>89675</t>
  </si>
  <si>
    <t>89681</t>
  </si>
  <si>
    <t>89690</t>
  </si>
  <si>
    <t>89699</t>
  </si>
  <si>
    <t>90438</t>
  </si>
  <si>
    <t>90455</t>
  </si>
  <si>
    <t>91187</t>
  </si>
  <si>
    <t>91192</t>
  </si>
  <si>
    <t>TUBO PVC, SÉRIE R, ÁGUA PLUVIAL, DN 100 MM, FORNECIDO E INSTALADO EM RAMAL DE ENCAMINHAMENTO. AF_12/2014</t>
  </si>
  <si>
    <t>JOELHO 90 GRAUS, PVC, SERIE R, ÁGUA PLUVIAL, DN 100 MM, JUNTA ELÁSTICA, FORNECIDO E INSTALADO EM RAMAL DE ENCAMINHAMENTO. AF_12/2014</t>
  </si>
  <si>
    <t>LUVA SIMPLES, PVC, SERIE R, ÁGUA PLUVIAL, DN 100 MM, JUNTA ELÁSTICA, FORNECIDO E INSTALADO EM RAMAL DE ENCAMINHAMENTO. AF_12/2014</t>
  </si>
  <si>
    <t>TÊ DE INSPEÇÃO, PVC, SERIE R, ÁGUA PLUVIAL, DN 100 MM, JUNTA ELÁSTICA, FORNECIDO E INSTALADO EM RAMAL DE ENCAMINHAMENTO. AF_12/2014</t>
  </si>
  <si>
    <t>TUBO PVC, SÉRIE R, ÁGUA PLUVIAL, DN 100 MM, FORNECIDO E INSTALADO EM CONDUTORES VERTICAIS DE ÁGUAS PLUVIAIS. AF_12/2014</t>
  </si>
  <si>
    <t>JOELHO 90 GRAUS, PVC, SERIE R, ÁGUA PLUVIAL, DN 100 MM, JUNTA ELÁSTICA, FORNECIDO E INSTALADO EM CONDUTORES VERTICAIS DE ÁGUAS PLUVIAIS. AF_12/2014</t>
  </si>
  <si>
    <t>JOELHO 45 GRAUS, PVC, SERIE R, ÁGUA PLUVIAL, DN 100 MM, JUNTA ELÁSTICA, FORNECIDO E INSTALADO EM CONDUTORES VERTICAIS DE ÁGUAS PLUVIAIS. AF_12/2014</t>
  </si>
  <si>
    <t>LUVA SIMPLES, PVC, SERIE R, ÁGUA PLUVIAL, DN 100 MM, JUNTA ELÁSTICA, FORNECIDO E INSTALADO EM CONDUTORES VERTICAIS DE ÁGUAS PLUVIAIS. AF_12/2014</t>
  </si>
  <si>
    <t>REDUÇÃO EXCÊNTRICA, PVC, SERIE R, ÁGUA PLUVIAL, DN 100 X 75 MM, JUNTA ELÁSTICA, FORNECIDO E INSTALADO EM CONDUTORES VERTICAIS DE ÁGUAS PLUVIAIS. AF_12/2014</t>
  </si>
  <si>
    <t>TÊ DE INSPEÇÃO, PVC, SERIE R, ÁGUA PLUVIAL, DN 100 MM, JUNTA ELÁSTICA, FORNECIDO E INSTALADO EM CONDUTORES VERTICAIS DE ÁGUAS PLUVIAIS. AF_12/2014</t>
  </si>
  <si>
    <t>REDUÇÃO EXCÊNTRICA, PVC, SERIE R, ÁGUA PLUVIAL, DN 150 X 100 MM, JUNTA ELÁSTICA, FORNECIDO E INSTALADO EM CONDUTORES VERTICAIS DE ÁGUAS PLUVIAIS. AF_12/2014</t>
  </si>
  <si>
    <t>JUNÇÃO SIMPLES, PVC, SERIE R, ÁGUA PLUVIAL, DN 100 X 100 MM, JUNTA ELÁSTICA, FORNECIDO E INSTALADO EM CONDUTORES VERTICAIS DE ÁGUAS PLUVIAIS. AF_12/2014</t>
  </si>
  <si>
    <t>JUNÇÃO SIMPLES, PVC, SERIE R, ÁGUA PLUVIAL, DN 150 X 100 MM, JUNTA ELÁSTICA, FORNECIDO E INSTALADO EM CONDUTORES VERTICAIS DE ÁGUAS PLUVIAIS. AF_12/2014</t>
  </si>
  <si>
    <t>FURO EM ALVENARIA PARA DIÂMETROS MAIORES QUE 75 MM. AF_05/2015</t>
  </si>
  <si>
    <t>PASSANTE TIPO TUBO DE DIÂMETRO MAIOR QUE 75 MM, FIXADO EM LAJE. AF_05/2015</t>
  </si>
  <si>
    <t>FIXAÇÃO DE TUBOS HORIZONTAIS DE PVC, CPVC OU COBRE DIÂMETROS MAIORES QUE 75 MM COM ABRAÇADEIRA METÁLICA FLEXÍVEL 18 MM, FIXADA DIRETAMENTE NA LAJE. AF_05/2015</t>
  </si>
  <si>
    <t>CHUMBAMENTO PONTUAL EM PASSAGEM DE TUBO COM DIÂMETRO MAIOR QUE 75 MM. AF_05/2015</t>
  </si>
  <si>
    <t>Comp. 32</t>
  </si>
  <si>
    <t>ALVENARIAS</t>
  </si>
  <si>
    <t>7.0</t>
  </si>
  <si>
    <t>7.1</t>
  </si>
  <si>
    <t>7.2</t>
  </si>
  <si>
    <t>7.3</t>
  </si>
  <si>
    <t>7.4</t>
  </si>
  <si>
    <t>7.5</t>
  </si>
  <si>
    <t>73899/1</t>
  </si>
  <si>
    <t>DEMOLICAO DE ALVENARIA DE TIJOLOS MACICOS S/REAPROVEITAMENTO</t>
  </si>
  <si>
    <t>8.2</t>
  </si>
  <si>
    <t>m²</t>
  </si>
  <si>
    <t>PISO CIMENTÍCIO COM ACABAMENTO DESEMPENADO - COMP. 33</t>
  </si>
  <si>
    <t>83683</t>
  </si>
  <si>
    <t>CAMADA HORIZONTAL DRENANTE C/ PEDRA BRITADA 1 E 2</t>
  </si>
  <si>
    <t>85662</t>
  </si>
  <si>
    <t>ARMACAO EM TELA DE ACO SOLDADA NERVURADA Q-92, ACO CA-60, 4,2MM, MALHA 15X15CM</t>
  </si>
  <si>
    <t>Comp. 33</t>
  </si>
  <si>
    <t>PISO CIMENTÍCIO COM ACABAMENTO DESEMPENADO</t>
  </si>
  <si>
    <t>95240</t>
  </si>
  <si>
    <t>LASTRO DE CONCRETO, E = 3 CM, PREPARO MECÂNICO, INCLUSOS LANÇAMENTO E ADENSAMENTO. AF_07_2016</t>
  </si>
  <si>
    <t>SERVIÇO DE INSTALAÇÃO DE TUBOS DE PVC, SÉRIE R, ÁGUA PLUVIAL, DN 100 MM (INSTALADO EM RAMAL DE ENCAMINHAMENTO, OU CONDUTORES VERTICAIS), INCLUSIVE CONEXÕES, CORTES E FIXAÇÕES, PARA PRÉDIOS.</t>
  </si>
  <si>
    <t>94964</t>
  </si>
  <si>
    <t>CONCRETO FCK = 20MPA, TRAÇO 1:2,7:3 (CIMENTO/ AREIA MÉDIA/ BRITA 1)  - PREPARO MECÂNICO COM BETONEIRA 400 L. AF_07/2016</t>
  </si>
  <si>
    <t>PILARETE EMBUTIDO EM BLOCO DE CONCRETO - MURO - COMP. 34</t>
  </si>
  <si>
    <t>GRAUTEAMENTO EM BLOCO DE CONCRETO - MURO</t>
  </si>
  <si>
    <t>90279</t>
  </si>
  <si>
    <t>GRAUTE FGK=20 MPA; TRAÇO 1:0,04:1,6:1,9 (CIMENTO/ CAL/ AREIA GROSSA/ BRITA 0) - PREPARO MECÂNICO COM BETONEIRA 400 L. AF_02/2015</t>
  </si>
  <si>
    <t>318,87</t>
  </si>
  <si>
    <t>GRAUTEAMENTO EM BLOCO DE CONCRETO COM ARMADURA - COMP. 24</t>
  </si>
  <si>
    <t>GRAUTEAMENTO EM BLOCO DE CONCRETO COM ARMADURA - PRÉDIOS</t>
  </si>
  <si>
    <t>TOTAL VI</t>
  </si>
  <si>
    <t>TOTAL VII</t>
  </si>
  <si>
    <t>BLOCO DE FUNDAÇÃO PARA PILARETES DO MURO, 45 x 30 x 20 cm, COM ESTACA A TRADO (BROCA) DIAMETRO = 20 CM, PROFUNDIDADE = 2 M, 
EM CONCRETO MOLDADO IN LOCO, 15 MPA, COM ARMAÇÃO - COMP. 31</t>
  </si>
  <si>
    <t>BLOCO DE FUNDAÇÃO PARA PILARETES DO MURO, 45 x 30 x 20 cm, COM ESTACA A TRADO (BROCA) DIAMETRO = 20 CM, PROFUNDIDADE = 2 M, 
EM CONCRETO MOLDADO IN LOCO, 15 MPA, COM ARMAÇÃO</t>
  </si>
  <si>
    <t>8.0</t>
  </si>
  <si>
    <t>8.1</t>
  </si>
  <si>
    <t>TOTAL VIII</t>
  </si>
  <si>
    <t>INTERRUPTOR DE SOBREPOR TIPO CONDULETE - COMP. 35</t>
  </si>
  <si>
    <t>12128</t>
  </si>
  <si>
    <t>SINAPI-I</t>
  </si>
  <si>
    <t>INTERRUPTOR SIMPLES 10A, 250V, CONJUNTO MONTADO PARA SOBREPOR 4" X 2" (CAIXA + MODULO)</t>
  </si>
  <si>
    <t>88247</t>
  </si>
  <si>
    <t>AUXILIAR DE ELETRICISTA COM ENCARGOS COMPLEMENTARES</t>
  </si>
  <si>
    <t>88264</t>
  </si>
  <si>
    <t>ELETRICISTA COM ENCARGOS COMPLEMENTARES</t>
  </si>
  <si>
    <t>INTERRUPTOR DE SOBREPOR TIPO CONDULETE</t>
  </si>
  <si>
    <t>Comp. 35</t>
  </si>
  <si>
    <t>92273</t>
  </si>
  <si>
    <t>FABRICAÇÃO DE ESCORAS DO TIPO PONTALETE, EM MADEIRA. AF_12/2015</t>
  </si>
  <si>
    <t>72132</t>
  </si>
  <si>
    <t>ALVENARIA EM TIJOLO CERAMICO MACICO 5X10X20CM 1/2 VEZ (ESPESSURA 10CM), ASSENTADO COM ARGAMASSA TRACO 1:2:8 (CIMENTO, CAL E AREIA)</t>
  </si>
  <si>
    <t>55,14</t>
  </si>
  <si>
    <t>58,36</t>
  </si>
  <si>
    <t>COMP.33</t>
  </si>
  <si>
    <t xml:space="preserve">PISO CIMENTÍCIO COM ACABAMENTO DESEMPENADO </t>
  </si>
  <si>
    <t>87894</t>
  </si>
  <si>
    <t>CHAPISCO APLICADO EM ALVENARIA (SEM PRESENÇA DE VÃOS) E ESTRUTURAS DE CONCRETO DE FACHADA, COM COLHER DE PEDREIRO.  ARGAMASSA TRAÇO 1:3 COM PREPARO EM BETONEIRA 400L. AF_06/2014</t>
  </si>
  <si>
    <t>4,35</t>
  </si>
  <si>
    <t>4,72</t>
  </si>
  <si>
    <t>87794</t>
  </si>
  <si>
    <t>EMBOÇO OU MASSA ÚNICA EM ARGAMASSA TRAÇO 1:2:8, PREPARO MANUAL, APLICADA MANUALMENTE EM PANOS CEGOS DE FACHADA (SEM PRESENÇA DE VÃOS), ESPESSURA DE 25 MM. AF_06/2014</t>
  </si>
  <si>
    <t>26,71</t>
  </si>
  <si>
    <t>28,60</t>
  </si>
  <si>
    <t>84862</t>
  </si>
  <si>
    <t>GUARDA-CORPO COM CORRIMAO EM TUBO DE ACO GALVANIZADO 1 1/2"</t>
  </si>
  <si>
    <t>182,41</t>
  </si>
  <si>
    <t>186,77</t>
  </si>
  <si>
    <t>73631</t>
  </si>
  <si>
    <t>GUARDA-CORPO EM TUBO DE ACO GALVANIZADO 1 1/2"</t>
  </si>
  <si>
    <t>268,94</t>
  </si>
  <si>
    <t>287,82</t>
  </si>
  <si>
    <t>88487</t>
  </si>
  <si>
    <t>APLICAÇÃO MANUAL DE PINTURA COM TINTA LÁTEX PVA EM PAREDES, DUAS DEMÃOS. AF_06/2014</t>
  </si>
  <si>
    <t>7,70</t>
  </si>
  <si>
    <t>8,02</t>
  </si>
  <si>
    <t>RAMPA DE ACESSIBILIDADE COMPISO CIMENTÍCIO COM ACABAMENTO DESEMPENADO E QUARDA CORPO COM CORRIMÃO- COMP. 36</t>
  </si>
  <si>
    <t>Comp. 36</t>
  </si>
  <si>
    <t>DRENAGEM DA RUA LIBERAL BERNARDI - COMP. 37</t>
  </si>
  <si>
    <t>83677</t>
  </si>
  <si>
    <t>TUBO CONCRETO SIMPLES DN 400 MM PARA DRENAGEM - FORNECIMENTO E INSTALACAO INCLUSIVE ESCAVACAO MANUAL 1,5M3/M</t>
  </si>
  <si>
    <t>123,93</t>
  </si>
  <si>
    <t>Poço de visita em alvenaria, para rede D=0,40 m, parte fixa c/ 1,20 m de altura-Tampa em grades de ferro</t>
  </si>
  <si>
    <t>ALVENARIA EM TIJOLO CERAMICO MACICO 5X10X20CM 1 VEZ (ESPESSURA 20CM), ASSENTADO COM ARGAMASSA TRACO 1:2:8 (CIMENTO, CAL E AREIA)</t>
  </si>
  <si>
    <t>113,43</t>
  </si>
  <si>
    <t>370</t>
  </si>
  <si>
    <t>1379</t>
  </si>
  <si>
    <t>18,44</t>
  </si>
  <si>
    <t>15,02</t>
  </si>
  <si>
    <t>AREIA MEDIA - POSTO JAZIDA/FORNECEDOR (RETIRADO NA JAZIDA, SEM TRANSPORTE)</t>
  </si>
  <si>
    <t>60,00</t>
  </si>
  <si>
    <t>CIMENTO PORTLAND COMPOSTO CP II-32</t>
  </si>
  <si>
    <t>0,56</t>
  </si>
  <si>
    <t>CALHA/CANALETA DE CONCRETO SIMPLES, TIPO MEIA CANA, D = 50 CM, PARA AGUA PLUVIAL</t>
  </si>
  <si>
    <t>29,18</t>
  </si>
  <si>
    <t>9.0</t>
  </si>
  <si>
    <t>9.1</t>
  </si>
  <si>
    <t>10.0</t>
  </si>
  <si>
    <t>10.1</t>
  </si>
  <si>
    <t>10.2</t>
  </si>
  <si>
    <t>10.3</t>
  </si>
  <si>
    <t>Comp. 37</t>
  </si>
  <si>
    <t xml:space="preserve">DRENAGEM DA RUA LIBERAL BERNARDI </t>
  </si>
  <si>
    <t>RAMPA DE ACESSIBILIDADE COM PISO CIMENTÍCIO COM ACABAMENTO DESEMPENADO E GUARDA CORPO COM CORRIMÃO</t>
  </si>
  <si>
    <t>TOTAL IX</t>
  </si>
  <si>
    <t>TOTAL X</t>
  </si>
  <si>
    <t xml:space="preserve">         </t>
  </si>
  <si>
    <t>ESCAVAÇÃO MANUAL DE VALAS EM TERRA COMPACTA, PRF. DE 0 M &lt; H &lt;=1 M - COMP. 38</t>
  </si>
  <si>
    <t>Comp. 38</t>
  </si>
  <si>
    <t>ESCAVAÇÃO MANUAL DE VALAS EM TERRA COMPACTA, PRF. DE 0 M &lt; H &lt;=1 M</t>
  </si>
  <si>
    <t>4.5</t>
  </si>
  <si>
    <t>APILOAMENTO DE FUNDO DE VALA - COMP. 39</t>
  </si>
  <si>
    <t>APILOAMENTO DE FUNDO DE VALA</t>
  </si>
  <si>
    <t>Comp. 39</t>
  </si>
  <si>
    <t>83668</t>
  </si>
  <si>
    <t>CAMADA DRENANTE COM BRITA NUM 2</t>
  </si>
  <si>
    <t>15.6</t>
  </si>
  <si>
    <t>insumo 21014</t>
  </si>
  <si>
    <t>11.0</t>
  </si>
  <si>
    <t>11.1</t>
  </si>
  <si>
    <t>11.2</t>
  </si>
  <si>
    <t>11.3</t>
  </si>
  <si>
    <t>PPCI</t>
  </si>
  <si>
    <t>92367</t>
  </si>
  <si>
    <t>TUBO DE AÇO GALVANIZADO COM COSTURA, CLASSE MÉDIA, DN 65 (2 1/2"), CONEXÃO ROSQUEADA, INSTALADO EM REDE DE ALIMENTAÇÃO PARA HIDRANTE - FORNECIMENTO E INSTALAÇÃO. AF_12/2015</t>
  </si>
  <si>
    <t>11.4</t>
  </si>
  <si>
    <t>92642</t>
  </si>
  <si>
    <t>TÊ, EM FERRO GALVANIZADO, CONEXÃO ROSQUEADA, DN 65 (2 1/2"), INSTALADO EM REDE DE ALIMENTAÇÃO PARA HIDRANTE - FORNECIMENTO E INSTALAÇÃO. AF_12/2015</t>
  </si>
  <si>
    <t>92390</t>
  </si>
  <si>
    <t>JOELHO 90 GRAUS, EM FERRO GALVANIZADO, DN 65 (2 1/2"), CONEXÃO ROSQUEADA, INSTALADO EM REDE DE ALIMENTAÇÃO PARA HIDRANTE - FORNECIMENTO E INSTALAÇÃO. AF_12/2015</t>
  </si>
  <si>
    <t>92896</t>
  </si>
  <si>
    <t>UNIÃO, EM FERRO GALVANIZADO, DN 65 (2 1/2"), CONEXÃO ROSQUEADA, INSTALADO EM REDE DE ALIMENTAÇÃO PARA HIDRANTE - FORNECIMENTO E INSTALAÇÃO. AF_12/2015</t>
  </si>
  <si>
    <t>74169/1</t>
  </si>
  <si>
    <t>REGISTRO/VALVULA GLOBO ANGULAR 45 GRAUS EM LATAO PARA HIDRANTES DE INCÊNDIO PREDIAL DN 2.1/2, COM VOLANTE, CLASSE DE PRESSAO DE ATE 200 PSI - FORNECIMENTO E INSTALACAO</t>
  </si>
  <si>
    <t>10899</t>
  </si>
  <si>
    <t>ADAPTADOR, EM LATAO, ENGATE RAPIDO 2 1/2" X ROSCA INTERNA 5 FIOS 2 1/2",  PARA INSTALACAO PREDIAL DE COMBATE A INCENDIO</t>
  </si>
  <si>
    <t>92377</t>
  </si>
  <si>
    <t>NIPLE, EM FERRO GALVANIZADO, DN 65 (2 1/2"), CONEXÃO ROSQUEADA, INSTALADO EM REDE DE ALIMENTAÇÃO PARA HIDRANTE - FORNECIMENTO E INSTALAÇÃO. AF_12/2015</t>
  </si>
  <si>
    <t>Comp. 40</t>
  </si>
  <si>
    <t>REGISTRO DE RECALQUE, COM REGISTRO GLOBO ANGULAR 45º 2.1/2" E ADAPTADOR EM LATAO, ENGATE RAPIDO (TIPO STORZ) 
2 1/2" X ROSCA INTERNA 5 FIOS 2 1/2"- FORNECIMENTO E INSTALAÇÃO  - COMP. 41</t>
  </si>
  <si>
    <t>POLIMENTO MECANIZADO DE PISO DE CONCRETO  - COMP. 42</t>
  </si>
  <si>
    <t>95276</t>
  </si>
  <si>
    <t>POLIDORA DE PISO (POLITRIZ), PESO DE 100KG, DIÂMETRO 450 MM, MOTOR ELÉTRICO, POTÊNCIA 4 HP - CHP DIURNO. AF_09/2016</t>
  </si>
  <si>
    <t>CHP</t>
  </si>
  <si>
    <t>POLIMENTO MECANIZADO DE PISO DE CONCRETO</t>
  </si>
  <si>
    <t>Comp. 42</t>
  </si>
  <si>
    <t>m2</t>
  </si>
  <si>
    <t>89171</t>
  </si>
  <si>
    <t>REVESTIMENTO CERÂMICO PARA PISO COM PLACAS TIPO GRÉS DE DIMENSÕES 35X35 CM, PARA EDIFICAÇÃO HABITACIONAL UNIFAMILIAR (CASA) E EDIFICAÇÃO PÚBLICA PADRÃO. AF_11/2014 (PINGADEIRAS DAS JANELAS)</t>
  </si>
  <si>
    <t>94213</t>
  </si>
  <si>
    <t>TELHAMENTO COM TELHA DE AÇO/ALUMÍNIO E = 0,5 MM, COM ATÉ 2 ÁGUAS, INCLUSO IÇAMENTO. AF_06/2016</t>
  </si>
  <si>
    <t>12.0</t>
  </si>
  <si>
    <t>12.1</t>
  </si>
  <si>
    <t>12.2</t>
  </si>
  <si>
    <t>12.3</t>
  </si>
  <si>
    <t>12.4</t>
  </si>
  <si>
    <t>12.5</t>
  </si>
  <si>
    <t>TOTAL XI</t>
  </si>
  <si>
    <t>PINTURAS</t>
  </si>
  <si>
    <t>TOTAL XII</t>
  </si>
  <si>
    <t>74064/2</t>
  </si>
  <si>
    <t>16.5</t>
  </si>
  <si>
    <t>Calhas de beiral, de chapas galvanizada nº 24, desenvolvimento 50cm</t>
  </si>
  <si>
    <t>FUNDO ANTICORROSIVO A BASE DE OXIDO DE FERRO (ZARCAO), UMA DEMAO (ESQUADRIAS METÁLICAS)</t>
  </si>
  <si>
    <t>FUNDO ANTICORROSIVO A BASE DE OXIDO DE FERRO (ZARCAO), UMA DEMAO (TESOURAS DA COBERTURA)</t>
  </si>
  <si>
    <t>73924/1</t>
  </si>
  <si>
    <t>PINTURA ESMALTE ALTO BRILHO, DUAS DEMAOS, SOBRE SUPERFICIE METALICA</t>
  </si>
  <si>
    <t>1169</t>
  </si>
  <si>
    <t>CAP OU TAMPAO DE FERRO GALVANIZADO, COM ROSCA BSP, DE 2 1/2"</t>
  </si>
  <si>
    <t>COLUNA VERTICAL DE TUBO DE FERRO GALVANIZADO FECHADA COM CAP, DN 65, DESTINADA A INSTALAÇÃO FUTURA DO SISTEMA DE HIDRANTES</t>
  </si>
  <si>
    <t>COLUNA VERTICAL DE TUBO DE FERRO GALVANIZADO FECHADA COM CAP, DN 65, DESTINADA A INSTALAÇÃO FUTURA DO SISTEMA DE HIDRANTES  - COMP. 40</t>
  </si>
  <si>
    <t>83513</t>
  </si>
  <si>
    <t>FORNECIMENTO DE PERFIL SIMPLES "I" OU "H" ATE 8" INCLUSIVE PERDAS - GRADES DE CAIXAS DE CAPTAÇÃO</t>
  </si>
  <si>
    <t>93281</t>
  </si>
  <si>
    <t>93282</t>
  </si>
  <si>
    <t>40536</t>
  </si>
  <si>
    <t>40549</t>
  </si>
  <si>
    <t>MONTADOR DE ESTRUTURA METÁLICA COM ENCARGOS COMPLEMENTARES</t>
  </si>
  <si>
    <t>GUINCHO ELÉTRICO DE COLUNA, CAPACIDADE 400 KG, COM MOTO FREIO, MOTOR TRIFÁSICO DE 1,25 CV - CHP DIURNO. AF_03/2016</t>
  </si>
  <si>
    <t>GUINCHO ELÉTRICO DE COLUNA, CAPACIDADE 400 KG, COM MOTO FREIO, MOTOR TRIFÁSICO DE 1,25 CV - CHI DIURNO. AF_03/2016</t>
  </si>
  <si>
    <t>PERFIL "U" ENRIJECIDO DE ACO GALVANIZADO, DOBRADO, 150 X 60 X 20 MM, E = 3,00 MM</t>
  </si>
  <si>
    <t>PARAFUSO, COMUM, ASTM A307, SEXTAVADO, DIAMETRO 1/2 (12,7 MM)</t>
  </si>
  <si>
    <t>CHI</t>
  </si>
  <si>
    <t>CENTO</t>
  </si>
  <si>
    <t>Comp. 43</t>
  </si>
  <si>
    <t xml:space="preserve"> PILAR PFV1 - PRÉDIO 2 - COMP. 44</t>
  </si>
  <si>
    <t xml:space="preserve"> PILAR PFV2 - PRÉDIO 2 - COMP. 45</t>
  </si>
  <si>
    <t>Comp. 44</t>
  </si>
  <si>
    <t>Comp. 45</t>
  </si>
  <si>
    <t>PILAR PFV1</t>
  </si>
  <si>
    <t>PILAR PFV2</t>
  </si>
  <si>
    <t>TERÇAMENTO PARA FECHAMENTO VERTICAL COM TERÇA PERFIL U ENRIJECIDO 75 x 25 x 15 x 2,00 mm, INCLUSO TRANSPORTE VERTICAL</t>
  </si>
  <si>
    <t>TERÇAMENTO PARA FECHAMENTO VERTICAL COM TERÇA PERFIL U ENRIJECIDO 75 x 25 x 15 x 2,00 mm,
INCLUSO TRANSPORTE VERTICAL - COMP. 43</t>
  </si>
  <si>
    <t>15.5</t>
  </si>
  <si>
    <t>RELE FOTOELETRICO P/ COMANDO DE ILUMINACAO EXTERNA 220V/1000W _ FORNECIMENTO E INSTALACAO</t>
  </si>
  <si>
    <t>LUMINARIA DE EMERGENCIA</t>
  </si>
  <si>
    <t>PORTA DE MADEIRA PARA PINTURA, SEMI_OCA (LEVE OU MÉDIA), 90X210CM, ESPESSURA DE 3,5CM, INCLUSO DOBRADIÇAS   FORNECIMENTO E INSTALAÇÃO. AF_08/2015</t>
  </si>
  <si>
    <t>PORTA DE MADEIRA PARA PINTURA, SEMI_OCA (LEVE OU MÉDIA), 80X210CM, ESPESSURA DE 3,5CM, INCLUSO DOBRADIÇAS   FORNECIMENTO E INSTALAÇÃO. AF_08/2015</t>
  </si>
  <si>
    <t>GALPAO ABERTO EM CANTEIRO DE OBRA, COM ESTRUTURA EM MADEIRA (REAPROVEITAMENTO 3X) E TELHA ONDULADA 6MM, INCLUINDO PISO CIMENTADO COM PREPARODO TERRENO</t>
  </si>
  <si>
    <t>ASSENTAMENTO DE TUBOS DE CONCRETO DIAMETRO = 400MM, SIMPLES OU ARMADO,JUNTA EM ARGAMASSA 1:3 CIMENTO:AREIA</t>
  </si>
  <si>
    <t>TUBO CONCRETO ARMADO, CLASSE PA-3, PB, DN 400 MM, PARA AGUASPLUVIAIS (NBR 8890)</t>
  </si>
  <si>
    <t>INSUMO NACIONAL CAIXA</t>
  </si>
  <si>
    <t>insumo 12576</t>
  </si>
  <si>
    <t>CAIXA D´ÁGUA EM POLIETILENO, 1000 LITROS, COM ACESSÓRIOS</t>
  </si>
  <si>
    <t>CAIXA DE CONCRETO, ALTURA = 1,00 METRO, DIAMETRO REGISTRO &lt; 150 MM</t>
  </si>
  <si>
    <t>74162/001</t>
  </si>
  <si>
    <t>REGISTRO/VALVULA GLOBO ANGULAR 45 GRAUS EM LATAO PARA HIDRANTES DE INCÊNDIO PREDIAL DN 2.1/2" _ FORNECIMENTO E INSTALACAO</t>
  </si>
  <si>
    <t>74169/001</t>
  </si>
  <si>
    <t>TUBO ACO GALVANIZADO COM COSTURA, CLASSE LEVE, DN 65 MM ( 21/2"),  E = 3,35 MM, * 6,23* KG/M (NBR 5580)</t>
  </si>
  <si>
    <t>ABRIGO PARA HIDRANTE, 90X60X17CM, COM REGISTRO GLOBO ANGULAR 45º 2.1/2", ADAPTADOR STORZ 2.1/2", MANGUEIRA DE INCÊNDIO 20M, REDUÇÃO 2.1/2X1.1/2" E ESGUICHO EM LATÃO 1.1/2" _ FORNECIMENTO E INSTALAÇÃO</t>
  </si>
  <si>
    <t>PLACA DE SINALIZACAO DE SEGURANCA CONTRA INCENDIO, FOTOLUMINESCENTE, QUADRADA, *14 X 14* CM, EM PVC *2* MM ANTI-CHAMAS (SIMBOLOS, CORES E PICTOGRAMAS CONFORME NBR 13434)</t>
  </si>
  <si>
    <t>insumo 37557</t>
  </si>
  <si>
    <t>PLACA DE SINALIZACAO EM CHAPA DE ACO NUM 16 COM PINTURA REFLETIVA</t>
  </si>
  <si>
    <t>insumo 34723</t>
  </si>
  <si>
    <t>PLACA DE SINALIZACAO DE SEGURANCA CONTRA INCENDIO, FOTOLUMINESCENTE, RETANGULAR, *13 X 26* CM, EM PVC *2* MM ANTI-CHAMAS(SIMBOLOS, CORES E PICTOGRAMAS CONFORME NBR 13434)</t>
  </si>
  <si>
    <t>insumo 37539</t>
  </si>
  <si>
    <t>EXTINTOR INCENDIO TP PO QUIMICO 4KG FORNECIMENTO E COLOCACAO</t>
  </si>
  <si>
    <t>73775/001</t>
  </si>
  <si>
    <t>LOCACAO CONVENCIONAL DE OBRA, ATRAVÉS DE GABARITO DE TABUAS CORRIDAS PONTALETADAS, SEM REAPROVEITAMENTO</t>
  </si>
  <si>
    <t>74077/001</t>
  </si>
  <si>
    <t>CABO DE COBRE ISOLADO PVC 450/750V 10MM2 RESISTENTE A CHAMA _ FORNECIMENTO E INSTALACAO</t>
  </si>
  <si>
    <t>73860/011</t>
  </si>
  <si>
    <t>ENTRADA DE ENERGIA ELÉTRICA AÉREA MONOFÁSICA 50A COM POSTE DE CONCRETO, INCLUSIVE CABEAMENTO, CAIXA DE PROTEÇÃO PARA MEDIDOR E ATERRAMENTO.</t>
  </si>
  <si>
    <t>ELETRODUTO DE PVC FLEXIVEL CORRUGADO DN 20MM (3/4") FORNECIMENTO E INSTALACAO</t>
  </si>
  <si>
    <t>CABO DE COBRE ISOLADO PVC 450/750V 6MM2 RESISTENTE A CHAMA - FORNECIMENTO E INSTALACAO</t>
  </si>
  <si>
    <t>73860/010</t>
  </si>
  <si>
    <t>CABO DE COBRE ISOLADO PVC 450/750V 2,5MM2 RESISTENTE A CHAMA - FORNECIMENTO E INSTALACAO</t>
  </si>
  <si>
    <t>73860/008</t>
  </si>
  <si>
    <t>DISJUNTOR TERMOMAGNETICO MONOPOLAR PADRAO NEMA (AMERICANO) 35 A 50A 240V, FORNECIMENTO E INSTALACAO</t>
  </si>
  <si>
    <t>74130/002</t>
  </si>
  <si>
    <t>DISJUNTOR TERMOMAGNETICO MONOPOLAR PADRAO NEMA (AMERICANO) 10 A 30A 240V, FORNECIMENTO E INSTALACAO</t>
  </si>
  <si>
    <t>74130/001</t>
  </si>
  <si>
    <t>QUADRO DE DISTRIBUICAO DE ENERGIA EM CHAPA DE ACO GALVANIZADO, PARA 12DISJUNTORES TERMOMAGNETICOS MONOPOLARES, COM BARRAMENTO TRIFASICO E NEUTRO - FORNECIMENTO E INSTALACAO</t>
  </si>
  <si>
    <t>TOMADA DE EMBUTIR 2P+T 10A/250V C/ PLACA - FORNECIMENTO E INSTALACAO</t>
  </si>
  <si>
    <t>INTERRUPTOR SIMPLES DE EMBUTIR 10A/250V 2 TECLAS, COM PLACA - FORNECIMENTO E INSTALACAO</t>
  </si>
  <si>
    <t>INTERRUPTOR SIMPLES DE EMBUTIR 10A/250V 1 TECLA, SEM PLACA - FORNECIMENTO E INSTALACAO</t>
  </si>
  <si>
    <t>REFLETOR REDONDO EM ALUMINIO COM SUPORTE E ALCA REGULAVEL PARA FIXACAO, COM LAMPADA VAPOR DE MERCURIO 250W</t>
  </si>
  <si>
    <t>74082/001</t>
  </si>
  <si>
    <t>IGNITOR PARA PARTIDA LÂMPADA VAPOR SÓDIO ALTA PRESSÃO ATÉ 400W</t>
  </si>
  <si>
    <t>LUMINARIA TIPO SPOT PARA 1 LAMPADA INCANDESCENTE/FLUORESCENTE COMPACTA</t>
  </si>
  <si>
    <t>74094/001</t>
  </si>
  <si>
    <t>PINTURA ESMALTE BRILHANTE (2 DEMAOS) SOBRE SUPERFICIE METALICA, INCLUSIVE PROTECAO COM ZARCAO (1 DEMAO)</t>
  </si>
  <si>
    <t>PINTURA PVA, TRES DEMAOS</t>
  </si>
  <si>
    <t>REVESTIMENTO CERÂMICO PARA PAREDES INTERNAS COM PLACAS TIPO GRÊS OU SEMI-GRÊS DE DIMENSÕES 25X35 CM APLICADAS EM AMBIENTES DE ÁREA MAIOR QUE5 M² NA ALTURA INTEIRA DAS PAREDES. AF_06/2014</t>
  </si>
  <si>
    <t>REBOCO COM ARGAMASSA PRE-FABRICADA, ESPESSURA 0,5CM, PREPARO MECANICODA ARGAMASSA</t>
  </si>
  <si>
    <t>74001/001</t>
  </si>
  <si>
    <t>EMBOÇO OU MASSA ÚNICA EM ARGAMASSA TRAÇO 1:2:8, PREPARO MANUAL, APLICADA MANUALMENTE EM PANOS DE FACHADA COM PRESENÇA DE VÃOS, ESPESSURA DE25 MM. AF_06/2014</t>
  </si>
  <si>
    <t>CHAPISCO APLICADO TANTO EM PILARES E VIGAS DE CONCRETO COMO EM ALVENARIA DE FACHADA COM PRESENÇA DE VÃOS, COM COLHER DE PEDREIRO. ARGAMASSATRAÇO 1:3 COM PREPARO MANUAL. AF_06/2014</t>
  </si>
  <si>
    <t>VIDRO FANTASIA TIPO CANELADO, ESPESSURA 4MM</t>
  </si>
  <si>
    <t>JANELA BASCULANTE DE FERRO EM CANTONEIRA 5/8"X1/8", LINHA POPULAR</t>
  </si>
  <si>
    <t>PORTA DE FERRO DE ABRIR TIPO BARRA CHATA, COM REQUADRO E GUARNICAO COMPLETA</t>
  </si>
  <si>
    <t>73933/004</t>
  </si>
  <si>
    <t>TUBO PVC  SERIE NORMAL, DN 50 MM, PARA ESGOTO  PREDIAL (NBR5688)</t>
  </si>
  <si>
    <t>insumo 9838</t>
  </si>
  <si>
    <t>TUBO PVC  SERIE NORMAL, DN 40 MM, PARA ESGOTO  PREDIAL (NBR5688)</t>
  </si>
  <si>
    <t>insumo 9835</t>
  </si>
  <si>
    <t>TUBO PVC  SERIE NORMAL, DN 100 MM, PARA ESGOTO  PREDIAL (NBR5688)</t>
  </si>
  <si>
    <t>insumo 9836</t>
  </si>
  <si>
    <t>TUBO PVC, SOLDAVEL, DN 25 MM, AGUA FRIA (NBR-5648)</t>
  </si>
  <si>
    <t>insumo 9868</t>
  </si>
  <si>
    <t>SUMIDOURO EM ALVENARIA DE TIJOLO CERAMICO MACIÇO DIAMETRO 1,40M E ALTURA 5,00M, COM TAMPA EM CONCRETO ARMADO DIAMETRO 1,60M E ESPESSURA 10CM</t>
  </si>
  <si>
    <t>74198/002</t>
  </si>
  <si>
    <t>FOSSA SEPTICA EM ALVENARIA DE TIJOLO CERAMICO MACICO DIMENSOES EXTERNAS 1,90X1,10X1,40M, 1.500 LITROS, REVESTIDA INTERNAMENTE COM BARRA LISA, COM TAMPA EM CONCRETO ARMADO COM ESPESSURA 8CM</t>
  </si>
  <si>
    <t>74197/001</t>
  </si>
  <si>
    <t>CAIXA DE GORDURA SIMPLES EM CONCRETO PRE-MOLDADO DN 40MM COM TAMPA - FORNECIMENTO E INSTALACAO</t>
  </si>
  <si>
    <t>74051/002</t>
  </si>
  <si>
    <t>CHUVEIRO ELETRICO COMUM CORPO PLASTICO TIPO DUCHA, FORNECIMENTO E INSTALACAO</t>
  </si>
  <si>
    <t>BANCADA DE MÁRMORE SINTÉTICO 120 X 60CM, COM CUBA INTEGRADA - FORNECIMENTO E INSTALAÇÃO. AF_12/2013_P</t>
  </si>
  <si>
    <t>TORNEIRA CROMADA LONGA, DE PAREDE, 1/2" OU 3/4", PARA PIA DE COZINHA,PADRÃO POPULAR - FORNECIMENTO E INSTALAÇÃO. AF_12/2013</t>
  </si>
  <si>
    <t>TORNEIRA CROMADA 1/2" OU 3/4" PARA TANQUE, PADRÃO POPULAR - FORNECIMENTO E INSTALAÇÃO. AF_12/2013</t>
  </si>
  <si>
    <t>LAVATÓRIO LOUÇA BRANCA COM COLUNA, *44 X 35,5* CM, PADRÃO POPULAR - FORNECIMENTO E INSTALAÇÃO. AF_12/2013</t>
  </si>
  <si>
    <t>CAIXA DE INSPEÇÃO EM ALVENARIA DE TIJOLO MACIÇO 60X60X60CM, REVESTIDAINTERNAMENTO COM BARRA LISA (CIMENTO E AREIA, TRAÇO 1:4) E=2,0CM, COMTAMPA PRÉ-MOLDADA DE CONCRETO E FUNDO DE CONCRETO 15MPA TIPO C - ESCAVAÇÃO E CONFECÇÃO</t>
  </si>
  <si>
    <t>74104/001</t>
  </si>
  <si>
    <t>VASO SANITÁRIO SIFONADO COM CAIXA ACOPLADA LOUÇA BRANCA - PADRÃO MÉDIO, INCLUSO ENGATE FLEXÍVEL EM PLÁSTICO BRANCO, 1/2" X 40CM - FORNECIMENTO E INSTALAÇÃO. AF_12/2013_P</t>
  </si>
  <si>
    <t>BANCADA DE MÁRMORE SINTÉTICO 120 X 60CM, COM CUBA INTEGRADA, INCLUSO SIFÃO TIPO GARRAFA EM PVC, VÁLVULA EM PLÁSTICO CROMADO TIPO AMERICANA ETORNEIRA CROMADA LONGA, DE PAREDE, PADRÃO POPULAR - FORNECIMENTO E INSTALAÇÃO. AF_12/2013_P</t>
  </si>
  <si>
    <t>REGISTRO DE GAVETA COM CANOPLA Ø 25MM (1”) - FORNECIMENTO E INSTALAÇÃO</t>
  </si>
  <si>
    <t>PONTO DE CONSUMO TERMINAL DE ÁGUA FRIA (SUBRAMAL) COM TUBULAÇÃO DE PVC, DN 25 MM, INSTALADO EM RAMAL DE ÁGUA, INCLUSOS RASGO E CHUMBAMENTO EM ALVENARIA. AF_12/2014</t>
  </si>
  <si>
    <t>LIMPEZA FINAL DA OBRA</t>
  </si>
  <si>
    <t>POCO DE VISITA EM ALVENARIA, PARA REDE D=0,40 M, PARTE FIXA C/ 1,00 MDE ALTURA</t>
  </si>
  <si>
    <t>COMPACTAÇÂO MECÂNICA DE VALA (APÓS REATERRO)</t>
  </si>
  <si>
    <t>ESCAVACAO DE VALA NAO ESCORADA EM MATERIAL 1A CATEGORIA , PROFUNDIDADEATE 1,5 M COM ESCAVADEIRA HIDRAULICA 105 HP(CAPACIDADE DE 0,78M3), SEM ESGOTAMENTO</t>
  </si>
  <si>
    <t>73962/013</t>
  </si>
  <si>
    <t>REVESTIMENTO CERÂMICO PARA PISO COM PLACAS TIPO GRÊS DE DIMENSÕES 35X35 CM APLICADA EM AMBIENTES DE ÁREA MAIOR QUE 10 M2. AF_06/2014</t>
  </si>
  <si>
    <t>CONTRAPISO/LASTRO DE CONCRETO NAO-ESTRUTURAL, E=5CM, PREPARO COM BETONEIRA</t>
  </si>
  <si>
    <t>73907/003</t>
  </si>
  <si>
    <t>ATERRO INTERNO (EDIFICACOES) COMPACTADO MANUALMENTE</t>
  </si>
  <si>
    <t>ESTRUTURA EM MADEIRA APARELHADA, PARA TELHA ONDULADA DE FIBROCIMENTO,ALUMINIO OU PLASTICA, APOIADA EM LAJE OU PAREDE</t>
  </si>
  <si>
    <t>73931/001</t>
  </si>
  <si>
    <t>CONDUTOR PARA CALHA DE BEIRAL, DE PVC, DIAMETRO 88 MM, INCLUINDO CONEXOES E BRACADEIRAS - FORNECIMENTO E COLOCACAO</t>
  </si>
  <si>
    <t>CALHA DE CHAPA GALVANIZADA NUMERO 26, COM DESENVOLVIMENTO DE 10 CM</t>
  </si>
  <si>
    <t>RUFO EM CHAPA DE ACO GALVANIZADO NUMERO 24, DESENVOLVIMENTO DE 25CM</t>
  </si>
  <si>
    <t>COBERTURA COM TELHA  DE CHAPA DE AÇO ZINCADO, ONDULADA, ESPESSURA DE 0,5MM</t>
  </si>
  <si>
    <t>75381/001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</si>
  <si>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</si>
  <si>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LAJE PRE-MOLD BETA 11 P/1KN/M2 VAOS 4,40M/INCL VIGOTAS TIJOLOS ARMADURA NEGATIVA CAPEAMENTO 3CM CONCRETO 20MPA ESCORAMENTO MATERIAL E MAO  DE OBRA.</t>
  </si>
  <si>
    <t>74141/001</t>
  </si>
  <si>
    <t>ALVENARIA DE VEDAÇÃO DE BLOCOS CERÂMICOS FURADOS NA VERTICAL DE 14X19X39CM (ESPESSURA 14CM) DE PAREDES COM ÁREA LÍQUIDA MENOR QUE 6M² SEM VÃOS E ARGAMASSA DE ASSENTAMENTO COM PREPARO EM BETONEIRA. AF_06/2014</t>
  </si>
  <si>
    <t>IMPERMEABILIZACAO DE SUPERFICIE COM EMULSAO ASFALTICA A BASE D'AGUA</t>
  </si>
  <si>
    <t>ALVENARIA DE EMBASAMENTO EM TIJOLOS CERAMICOS MACICOS 5X10X20CM, ASSENTADO  COM ARGAMASSA TRACO 1:2:8 (CIMENTO, CAL E AREIA)</t>
  </si>
  <si>
    <t>CONCRETO USINADO BOMBEADO FCK=20MPA, INCLUSIVE LANCAMENTO E ADENSAMENTO</t>
  </si>
  <si>
    <t>74138/002</t>
  </si>
  <si>
    <t>LOCACAO CONVENCIONAL DE OBRA, ATRAVÉS DE GABARITO DE TABUAS CORRIDAS PONTALETADAS A CADA 1,50M, SEM REAPROVEITAMENTO</t>
  </si>
  <si>
    <t>73992/001</t>
  </si>
  <si>
    <t>PLACA DE OBRA EM CHAPA DE ACO GALVANIZADO</t>
  </si>
  <si>
    <t>74209/001</t>
  </si>
  <si>
    <t>ESCAVACAO MANUAL DE VALAS EM TERRA COMPACTA, PROF. DE 0 M &lt; H &lt;= 1 M</t>
  </si>
  <si>
    <t>LIMPEZA MECANIZADA DE TERRENO COM REMOCAO DE CAMADA VEGETAL, UTILIZANDO MOTONIVELADORA</t>
  </si>
  <si>
    <t>73822/002</t>
  </si>
  <si>
    <t>material</t>
  </si>
  <si>
    <t>mao de obra</t>
  </si>
  <si>
    <t>com bdi</t>
  </si>
  <si>
    <t>TOTAL GERAL</t>
  </si>
  <si>
    <t>Tampa cega em pvc para condulete 4 x 2"</t>
  </si>
  <si>
    <t>insumo nacional caixa</t>
  </si>
  <si>
    <t>18.12</t>
  </si>
  <si>
    <t>Condulete de pvc, tipo x, para eletroduto de pvc soldável dn 25 mm (3/4''), aparente - fornecimento e instalação. af_11/2016</t>
  </si>
  <si>
    <t>18.11</t>
  </si>
  <si>
    <t>Eletroduto rígido roscável, pvc, dn 20 mm (1/2"), para circuitos terminais, instalado em forro - fornecimento e instalação. af_12/2015</t>
  </si>
  <si>
    <t>18.10</t>
  </si>
  <si>
    <t>Cabo de cobre flexível isolado, 2,5 mm², anti-chama 450/750 v, para circuitos terminais - fornecimento e instalação. af_12/2015</t>
  </si>
  <si>
    <t>18.9</t>
  </si>
  <si>
    <t>Refletor redondo em aluminio com suporte e alca regulavel para fixacao, com lampada vapor de mercurio 250w</t>
  </si>
  <si>
    <t>74082/1</t>
  </si>
  <si>
    <t>18.8</t>
  </si>
  <si>
    <t>Telhamento com Telha de Aço/Aluminio - Telhado e Fechamento da Platibanda</t>
  </si>
  <si>
    <t>18.7</t>
  </si>
  <si>
    <t>Pilares metálicos</t>
  </si>
  <si>
    <t>Comp. 06</t>
  </si>
  <si>
    <t>18.5</t>
  </si>
  <si>
    <t>Placa para chumbação dos pilares metálicos</t>
  </si>
  <si>
    <t>Comp. 05</t>
  </si>
  <si>
    <t>18.4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</si>
  <si>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</si>
  <si>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18.3</t>
  </si>
  <si>
    <t>18.2</t>
  </si>
  <si>
    <t>Servente com encargos complementares - escavação manual de fundações</t>
  </si>
  <si>
    <t>18.1</t>
  </si>
  <si>
    <t>COBERTURA DA PISTA DE ABASTECIMENTO</t>
  </si>
  <si>
    <t>18.0</t>
  </si>
  <si>
    <t>Limpeza geral da obra</t>
  </si>
  <si>
    <t>17.1</t>
  </si>
  <si>
    <t>LIMPEZA</t>
  </si>
  <si>
    <t>17.0</t>
  </si>
  <si>
    <t>Plantio de grama São Carlos em leivas</t>
  </si>
  <si>
    <t>16.8</t>
  </si>
  <si>
    <t>Portão de acesso de pedestres, incluso todas peças usuais de acabamentos.</t>
  </si>
  <si>
    <t>16.7</t>
  </si>
  <si>
    <t>Portões de acesso de veículos, incluso estrutura de sustentação (vigas e pilares), e todas peças usuais de acabamentos.</t>
  </si>
  <si>
    <t>Pesquisa no mercado local</t>
  </si>
  <si>
    <t>16.6</t>
  </si>
  <si>
    <t>Alvenaria de vedação de blocos vazados de concreto de 14x19x39 cm( espessura 14cm) de paredes com líquida maior ou igual a 6m² com vãos de argamassa de assentamento com preparo em betoneira - AF_06/2014</t>
  </si>
  <si>
    <t>16.4</t>
  </si>
  <si>
    <t>Pilar metálico tubular, seção 120x60x2,65mmx230cm, para sustentação do cercamento, incluindo pintura.</t>
  </si>
  <si>
    <t>16.3</t>
  </si>
  <si>
    <t>Cerca em estrutura de ferro (incluindo pintura), com tela soldada arame galvanizado 12 BWG (2,77mm), malha 15x5cm, incluso estrutura de fixação</t>
  </si>
  <si>
    <t>16.2</t>
  </si>
  <si>
    <t>Tela de arame galv. quadrangular/losangular, fio 2,11mm (14 BWG), malha 5x5cm,incluso estrutura de fixação</t>
  </si>
  <si>
    <t>16.1</t>
  </si>
  <si>
    <t>CERCAMENTO</t>
  </si>
  <si>
    <t>16.0</t>
  </si>
  <si>
    <t>Conjunto motobomba 10 HP para utilização dos hidrantes</t>
  </si>
  <si>
    <t>COMP. 2</t>
  </si>
  <si>
    <t>15.9</t>
  </si>
  <si>
    <t>Avisador sonoro de alarme de incendio, incluso instalação</t>
  </si>
  <si>
    <t>15.8</t>
  </si>
  <si>
    <t>Acionador manual de alarme de incêndio, incluso instalação</t>
  </si>
  <si>
    <t>15.7</t>
  </si>
  <si>
    <t>Placa de sinalizacao de seguranca contra incendio, fotoluminescente, quadrada, *14 x 14* cm, em pvc *2* mm anti-chamas (simbolos, cores e pictogramas conforme nbr 13434)</t>
  </si>
  <si>
    <t>15.4</t>
  </si>
  <si>
    <t>Placa de sinalizacao de seguranca contra incendio, fotoluminescente, retangular, *13 x 26* cm, em pvc *2* mm anti-chamas(simbolos, cores e pictogramas conforme nbr 13434)</t>
  </si>
  <si>
    <t>15.3</t>
  </si>
  <si>
    <t>Luminária bloco autonômo</t>
  </si>
  <si>
    <t>15.2</t>
  </si>
  <si>
    <t>Extintor incendio TP po quimico 4 kg, fornecimento e instalação</t>
  </si>
  <si>
    <t>15.1</t>
  </si>
  <si>
    <t>15.0</t>
  </si>
  <si>
    <t>TOTAL XIV</t>
  </si>
  <si>
    <t>Pintura esmalte brilhante (2 demãos) sobre superficie metálica, inclusive proteção com zarcão (1 demão)</t>
  </si>
  <si>
    <t>73794/001</t>
  </si>
  <si>
    <t>14.2</t>
  </si>
  <si>
    <t>Pintura tinta pva na estrutura de concreto em três demaõs</t>
  </si>
  <si>
    <t>14.1</t>
  </si>
  <si>
    <t>Remoção de pintura PVC/Acrilica</t>
  </si>
  <si>
    <t>14.0</t>
  </si>
  <si>
    <t>TOTAL XIII</t>
  </si>
  <si>
    <t>Calha de concreto 60x20 cm</t>
  </si>
  <si>
    <t>6045+insumo4750+insumo6127</t>
  </si>
  <si>
    <t>13.6</t>
  </si>
  <si>
    <t>Poço de visita em alvenaria, para rede D=0,60 m, parte fixa c/ 1,40 m de altura-Tampa em grades de ferro</t>
  </si>
  <si>
    <t>13.5</t>
  </si>
  <si>
    <t>13.4</t>
  </si>
  <si>
    <t>Tubo de concreto armado, classe PA-3, PB, DN 600 mm, para águas pluviais (NBR 8890), inclusive assentamento</t>
  </si>
  <si>
    <t>insumo12578+92811</t>
  </si>
  <si>
    <t>Tubo de concreto armado, classe PA-3, PB, DN 400 mm, para águas pluviais (NBR 8890), inclusive assentamento</t>
  </si>
  <si>
    <t>insumo12576+92809</t>
  </si>
  <si>
    <t>13.2</t>
  </si>
  <si>
    <t>Reaterro de valas com compactação manual</t>
  </si>
  <si>
    <t>73964/006</t>
  </si>
  <si>
    <t>13.1</t>
  </si>
  <si>
    <t>DRENAGEM</t>
  </si>
  <si>
    <t>13.0</t>
  </si>
  <si>
    <t>Bancada de granito cinza polido 150 x 60 cm, com cuba de embutir de aço inoxidável média, válvula americana em metal cromado, sifão flexívelem pvc, engate flexível 30 cm, torneira cromada longa de parede, 1/2ou 3/4, para pia de cozinha, padrão popular_ fornec. e instal. af_12/213</t>
  </si>
  <si>
    <t>12.19</t>
  </si>
  <si>
    <t>Tanque de louça branca com coluna, 30l ou equivalente _ fornecimento einstalação. af_12/2013</t>
  </si>
  <si>
    <t>12.18</t>
  </si>
  <si>
    <t>Estação de tratamento de efluentes, composta por caixa separadora de barro e caixa separadora de água e óleo</t>
  </si>
  <si>
    <t>12.17</t>
  </si>
  <si>
    <t>Plataforma de lavagem de carroceria, composta por calha e caixa de barro.</t>
  </si>
  <si>
    <t>12.16</t>
  </si>
  <si>
    <t>Caixa d'água em fibra de vidro, para 10.000 litros, com tampa e acessórios.</t>
  </si>
  <si>
    <t>insumo 37106</t>
  </si>
  <si>
    <t>12.15</t>
  </si>
  <si>
    <t>Tubo PVC série normal, DN 50 mm, para esgoto predial (NBR5688), inclusive conexões</t>
  </si>
  <si>
    <t>12.14</t>
  </si>
  <si>
    <t>Tubo PVC série normal, DN 40 mm, para esgoto predial (NBR5688), inclusive conexões</t>
  </si>
  <si>
    <t>12.13</t>
  </si>
  <si>
    <t>Tubo PVC série normal, DN 100 mm, para esgoto predial (NBR5688), inclusive conexões</t>
  </si>
  <si>
    <t>12.12</t>
  </si>
  <si>
    <t>Tubo PVC, soldavel, DN 25 mm, água fria (NBR-5648), inclusive conexões</t>
  </si>
  <si>
    <t>12.11</t>
  </si>
  <si>
    <t>Poço Sumidouro 260x130x250cm, volume útil, com tampa de concreto armado com espessura de 10 cm</t>
  </si>
  <si>
    <t>12.10</t>
  </si>
  <si>
    <t>Fossa séptica em alvenaria de tijolo cerâmico maciço dimensões externas 2,20X1,20X1,50m, 1.850 litros, revestida internamente com barra lisa, com tampa em concreto armado com espessura de 8 cm.</t>
  </si>
  <si>
    <t>12.9</t>
  </si>
  <si>
    <t>Caixa de gordura simples em concreto pre-moldado DN 40 mm com tampa - fornecimento e instalação</t>
  </si>
  <si>
    <t>12.8</t>
  </si>
  <si>
    <t>Bancada de mármore sintético 120 X 60cm, com cuba integrada -  fornecimento e instalação. AF_12/2013_P</t>
  </si>
  <si>
    <t>12.7</t>
  </si>
  <si>
    <t>Torneira cromada 1/2" ou 3/4" para tanque, padrão popular - fornecimento e instalação. AF_12/2013</t>
  </si>
  <si>
    <t>12.6</t>
  </si>
  <si>
    <t>Caixa de inspeção em alvenaria de tijolo maciço 60X60X60cm, revestimento com barra lisa (cimento e areia, traço 1:4) e=2,0cm,  com tampa pré-moldada de concreto e fundo de concreto 15 MPa TIPO C - escavação e confecção</t>
  </si>
  <si>
    <t>Vaso sanitário sifonado com caixa acoplada louça branca - padrão médio, incluso engate flexível em plástico branco, 1/2" X 40CM - fornecimento e instalação. AF_12/2013_P</t>
  </si>
  <si>
    <t>Lavatório louça branca com coluna, 44 X 35,5 cm, padrão médio - fornecimento e instalação. AF_12/2013</t>
  </si>
  <si>
    <t>Registro de gaveta com canopla cromados, ximples, bitola 1" - fornecimento e instalação</t>
  </si>
  <si>
    <t>insumo 6013</t>
  </si>
  <si>
    <t>Ponto terminal de água fria( subramal) com tubulação de PVC, DN 25 mm, instalado em ramal de água, inclusos rasgo e chumbamento em alvenaria. AF_12/2014</t>
  </si>
  <si>
    <t>HIDROSSANITÁRIO</t>
  </si>
  <si>
    <t>Entrada de energia elétrica aérea trifásica A 50A com poste de concreto, inclusive cabeamento, caixa de proteção para medidor e aterramento.</t>
  </si>
  <si>
    <t>11.13</t>
  </si>
  <si>
    <t>Eletroduto de aço galvanizado tipo conduite D=1 1/2" (40mm) - fornecimento e instalação</t>
  </si>
  <si>
    <t>11.12</t>
  </si>
  <si>
    <t>Caixa de passagem em alvenaria de tijolo maciço 60x60x60cm, revestida internamente com barra lisa (cimento e areia, traço 1:4) e= 2,0cm, com tampa pré-moldada de concreto e fundo de concreto 15MPa Tipo C - Escavação e confecção</t>
  </si>
  <si>
    <t>11.11</t>
  </si>
  <si>
    <t>Condulete PVC 3/4", com tampa, fornecimento e instalação.</t>
  </si>
  <si>
    <t>11.10</t>
  </si>
  <si>
    <t>Eletroduto rigido roscável, PVC, DN 25mm (3/4"), para cirduítos terminais, instalado em parede, fornecimento e instalação. AF_12/2015</t>
  </si>
  <si>
    <t>11.9</t>
  </si>
  <si>
    <t>Cabo de cobre flexível isolado 16mm2, anti-chama 450/750V, para circuítos terminais, fornecimento e instalação.</t>
  </si>
  <si>
    <t>11.8</t>
  </si>
  <si>
    <t>Cabo de cobre flexível isolado 2,5mm2, anti-chama 450/750V, para circuítos terminais, fornecimento e instalação.</t>
  </si>
  <si>
    <t>11.7</t>
  </si>
  <si>
    <t>Disjuntor termomagnético monopolar padrão nema (americano) 10 A 30A 240V, fornecimento e instalação</t>
  </si>
  <si>
    <t>11.6</t>
  </si>
  <si>
    <t>Quadro de distribuição de energia de embutir, em chapa metálica, para 3 disjuntorres termomagneticos monopolares, sem barramento, fornecimento e instalação</t>
  </si>
  <si>
    <t>74131/001</t>
  </si>
  <si>
    <t>11.5</t>
  </si>
  <si>
    <t>Tomada média de embutir (1 módulo), 2P+T 10A/250V incluindo suporte e placa - fornecimento e instalação. AF_12/2015</t>
  </si>
  <si>
    <t>Interruptor simples (3 módulo) 10A/250V , incluindo suporte e placa - fornecimento e instalação. AF_12/2015</t>
  </si>
  <si>
    <t>Interruptor simples (1 módulo) 10A/250V , incluindo suporte e placa - fornecimento e instalação. AF_12/2015</t>
  </si>
  <si>
    <t>Luminária tipo calha, de sobrepor, com reator de partida e lampada fluorescente 2x32w, completa, fornecimento e instalação</t>
  </si>
  <si>
    <t>73953/006</t>
  </si>
  <si>
    <t>ELETRICO</t>
  </si>
  <si>
    <t>Vidro fantasia tipo canelado, espessura 4mm, inclusive massa para vedação e colocação</t>
  </si>
  <si>
    <t>10.4</t>
  </si>
  <si>
    <t xml:space="preserve">Janelas Basculantes </t>
  </si>
  <si>
    <t>Portas externas metalicas pivotante</t>
  </si>
  <si>
    <t xml:space="preserve">Grade de ferro em barra chata 3/16" </t>
  </si>
  <si>
    <t>73932/001</t>
  </si>
  <si>
    <t>ESQUADRIAS</t>
  </si>
  <si>
    <t xml:space="preserve">Revestimento cerâmico para paredes internas com placas tipo GRÊS ou SEMI-GRÊS de dimensões 25X35cm  na altura inteira das paredes. AF_06/2014 - banheiro e cozinha </t>
  </si>
  <si>
    <t>9.4</t>
  </si>
  <si>
    <t>Reboco com argamassa pré-fabricada, espessura 1 mm,preparo mecanico da argamassa</t>
  </si>
  <si>
    <t>9.3</t>
  </si>
  <si>
    <t>Emboço ou massa única em argamassa traço 1:2:8,preparo manual, aplicada manualmente em panos de fachada com presença de vãos, espessura de 25 mm. AF_06/2014</t>
  </si>
  <si>
    <t>9.2</t>
  </si>
  <si>
    <t>Chapisco aplicado tanto em pilares e vigas de concreto como em alvenaria de fachada com presença de vãos, com colher de pedreiro. Argamassa traço 1:3 com preparo manual. AF_06/2014</t>
  </si>
  <si>
    <t>REVESTIMENTOS</t>
  </si>
  <si>
    <t>Calha de aço carbono 5x5 cm</t>
  </si>
  <si>
    <t>8.6</t>
  </si>
  <si>
    <t>Pavimentação com pedras irregulares de basalto, compreendendo: assentamento das pedras, rejunte - garagens e pátio interno de manobras. Colchão de Argila e compactação da pavimentação serão executados pela prefeitura municipal.</t>
  </si>
  <si>
    <t>Comp. 3</t>
  </si>
  <si>
    <t>8.5</t>
  </si>
  <si>
    <t>Piso em concreto armado 20MPa preparo mecânico, espessura 15 cm, incluso selante elástico a base de poliuretano.</t>
  </si>
  <si>
    <t>Comp. 4</t>
  </si>
  <si>
    <t>8.4</t>
  </si>
  <si>
    <t>Ceramica vitificada, PEI 4, 30X30 cm</t>
  </si>
  <si>
    <t>8.3</t>
  </si>
  <si>
    <t>Aterro interno( edificações) compactado manualmente</t>
  </si>
  <si>
    <t>PAVIMENTAÇÕES</t>
  </si>
  <si>
    <t>Algeros de platibanda de chapa galvanizada nº 24, corte 25 cm</t>
  </si>
  <si>
    <t>7.8</t>
  </si>
  <si>
    <t>Rufo em chapa de aço galvanizado número 24, corte 25cm, incluso transpporte vertical. AF_06/2016</t>
  </si>
  <si>
    <t>7.6</t>
  </si>
  <si>
    <t>Trama de madeira composta por ripas, caibros e terças para telhados.</t>
  </si>
  <si>
    <t>Telha de Policarbonato0,8x1260x6000mm, incluso peças de acabamento.</t>
  </si>
  <si>
    <t>COBERTURA</t>
  </si>
  <si>
    <t>Barroteamento para forro, com peças de madeira 2,5x10cm, espaçadas de 50 cm.</t>
  </si>
  <si>
    <t>6.2</t>
  </si>
  <si>
    <t>Forro de PVC em regua de 100mm(com colocação, exclusive estrutura de suporte)</t>
  </si>
  <si>
    <t>insumo 11587</t>
  </si>
  <si>
    <t>FORRO</t>
  </si>
  <si>
    <t>Alvenaria de vedação de blocos vazados de concreto de 19x19x39 cm( espessura 19cm) de paredes com líquida maior ou igual a 6m² com vãos de argamassa de assentamento com preparo em betoneira - AF_06/2014</t>
  </si>
  <si>
    <t>ESTRUTURA DE CONCRETO</t>
  </si>
  <si>
    <t>Impermeabilização das fundações com vadeparem</t>
  </si>
  <si>
    <t>FUNDAÇÕES</t>
  </si>
  <si>
    <t>Galpão em canteiro de obra, com estrutura de madeira e telha ondulada 6mm, incluindo piso cimentado com preparo do terreno.</t>
  </si>
  <si>
    <t>Locação da obra com gabarito de madeira</t>
  </si>
  <si>
    <t>Placa de obra  chapa galvanizada dimensões (240x120 cm)</t>
  </si>
  <si>
    <t>SERVIÇOS INICIAIS</t>
  </si>
  <si>
    <t>Escavação manual de valas - sapatas e vigas</t>
  </si>
  <si>
    <t>MOVIMENTO DE TERRA</t>
  </si>
  <si>
    <t>CODIGO</t>
  </si>
  <si>
    <t>valores sinapi</t>
  </si>
  <si>
    <t>Pav.</t>
  </si>
  <si>
    <t>Prédio 4</t>
  </si>
  <si>
    <t>Prédio 3</t>
  </si>
  <si>
    <t>Prédio 2</t>
  </si>
  <si>
    <t>Prédio 1</t>
  </si>
  <si>
    <t>Planilha Orçamentária</t>
  </si>
  <si>
    <t xml:space="preserve"> </t>
  </si>
  <si>
    <t>Total das Fontes</t>
  </si>
  <si>
    <t>Contrapartida - Município</t>
  </si>
  <si>
    <t>Valor Financiado - Badesul</t>
  </si>
  <si>
    <t>ACUMULADO</t>
  </si>
  <si>
    <t>SIMPLES</t>
  </si>
  <si>
    <t>TOTAL ACUMULADO</t>
  </si>
  <si>
    <t>TOTAL SIMPLES</t>
  </si>
  <si>
    <t>R$</t>
  </si>
  <si>
    <t xml:space="preserve">% </t>
  </si>
  <si>
    <t>SERVIÇOS</t>
  </si>
  <si>
    <t>6º MÊS</t>
  </si>
  <si>
    <t>5º MÊS</t>
  </si>
  <si>
    <t>4º MÊS</t>
  </si>
  <si>
    <t>3º MÊS</t>
  </si>
  <si>
    <t>2º MÊS</t>
  </si>
  <si>
    <t>1º MÊS</t>
  </si>
  <si>
    <t>DOS</t>
  </si>
  <si>
    <t>PESO</t>
  </si>
  <si>
    <t>MESES</t>
  </si>
  <si>
    <t>VALOR</t>
  </si>
  <si>
    <t>CRONOGRAMA FISICO FINANCEIRO</t>
  </si>
  <si>
    <t>Armacao aco ca-50, p/1,0 m³ de concreto</t>
  </si>
  <si>
    <t>73990/001</t>
  </si>
  <si>
    <t>Concreto fck=20mpa, inclusive lancamento e adensamento</t>
  </si>
  <si>
    <t>Forma tabuas madeira 3a p/ pecas concreto arm, reapr 10x, incl montagem e desmontagem.</t>
  </si>
  <si>
    <t>74007/001</t>
  </si>
  <si>
    <t>COMPOSIÇÃO CUSTO DE CONCRETO ARMADO PARA VIGAS E PILARES - COMP. 1</t>
  </si>
  <si>
    <t>insumo 4741</t>
  </si>
  <si>
    <t>insumo 4730</t>
  </si>
  <si>
    <t>M3XKM</t>
  </si>
  <si>
    <t>UN.</t>
  </si>
  <si>
    <t>Painel para bomba de incêndio de 10 hp + jokey de 3 cv</t>
  </si>
  <si>
    <t>P</t>
  </si>
  <si>
    <t>Conjunto motobomba para incêndio, potência 10 hp, inclusive conecções</t>
  </si>
  <si>
    <t>COMPOSIÇÃO CUSTO DE BASE DE CASA DE BOMBA DE INCENDIO- COMP. 2</t>
  </si>
  <si>
    <t>Transporte comercial com caminhao basculante 6 m3, rodovia com revesti mento primario</t>
  </si>
  <si>
    <t>Servente com encargos complementares</t>
  </si>
  <si>
    <t>Po de pedra (posto pedreira/fornecedor, sem frete)</t>
  </si>
  <si>
    <t>Pedra-de-mão ou pedra rachão p/ muro arrimo/fundação/enrocamento etc - posto pedreira / fornecedor (sem frete)</t>
  </si>
  <si>
    <t>Calceteiro com encargos complementares</t>
  </si>
  <si>
    <t>Corte e dobra de aço ca_50, diâmetro de 10.0 mm, utilizado em estruturas diversas, exceto lajes. af_12/2015</t>
  </si>
  <si>
    <t>Piso em concreto 20 mpa preparo mecanico, espessura 15cm, incluso selante elastico a base de poliuretano</t>
  </si>
  <si>
    <t>COMPOSIÇÃO CUSTO DE PISO DE CONCRETO COM ARMADURA - COMP. 4</t>
  </si>
  <si>
    <t>PLACA PARA CHUMBAÇÃO DOS PILARES METÁLICOS - COMP. 5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</si>
  <si>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</si>
  <si>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</si>
  <si>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</si>
  <si>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</si>
  <si>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</si>
  <si>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</si>
  <si>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</si>
  <si>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</si>
  <si>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</si>
  <si>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</si>
  <si>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</si>
  <si>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</si>
  <si>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</si>
  <si>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</si>
  <si>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</si>
  <si>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18.13</t>
  </si>
  <si>
    <t>18.14</t>
  </si>
  <si>
    <t>18.15</t>
  </si>
  <si>
    <t>18.16</t>
  </si>
  <si>
    <t>3.6</t>
  </si>
  <si>
    <t>3.7</t>
  </si>
  <si>
    <t>8.7</t>
  </si>
  <si>
    <t>8.8</t>
  </si>
  <si>
    <t>8.9</t>
  </si>
  <si>
    <t>8.10</t>
  </si>
  <si>
    <t>18.17</t>
  </si>
  <si>
    <t>14.3</t>
  </si>
  <si>
    <t>14.4</t>
  </si>
  <si>
    <t>14.5</t>
  </si>
  <si>
    <t>14.6</t>
  </si>
  <si>
    <t>15.10</t>
  </si>
  <si>
    <t>15.11</t>
  </si>
  <si>
    <t>15.12</t>
  </si>
  <si>
    <t>Augusto Pestana, 21 de março de 2018</t>
  </si>
  <si>
    <t>PAVIMENTAÇÃO COM PEDRAS IRREGULARES DE BASALTO-M2 - COMP. 03</t>
  </si>
  <si>
    <t>Obs.: composição inclusa BDI</t>
  </si>
</sst>
</file>

<file path=xl/styles.xml><?xml version="1.0" encoding="utf-8"?>
<styleSheet xmlns="http://schemas.openxmlformats.org/spreadsheetml/2006/main">
  <numFmts count="49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0.000"/>
    <numFmt numFmtId="187" formatCode="_(* #,##0_);_(* \(#,##0\);_(* &quot;-&quot;??_);_(@_)"/>
    <numFmt numFmtId="188" formatCode="0.0"/>
    <numFmt numFmtId="189" formatCode="0.0000"/>
    <numFmt numFmtId="190" formatCode="_(* #,##0.0_);_(* \(#,##0.0\);_(* &quot;-&quot;??_);_(@_)"/>
    <numFmt numFmtId="191" formatCode="[$-416]dddd\,\ d&quot; de &quot;mmmm&quot; de &quot;yyyy"/>
    <numFmt numFmtId="192" formatCode="[$-416]hh:mm:ss\ AM/PM"/>
    <numFmt numFmtId="193" formatCode="&quot;Sim&quot;;&quot;Sim&quot;;&quot;Não&quot;"/>
    <numFmt numFmtId="194" formatCode="&quot;Verdadeiro&quot;;&quot;Verdadeiro&quot;;&quot;Falso&quot;"/>
    <numFmt numFmtId="195" formatCode="&quot;Ativado&quot;;&quot;Ativado&quot;;&quot;Desativado&quot;"/>
    <numFmt numFmtId="196" formatCode="[$€-2]\ #,##0.00_);[Red]\([$€-2]\ #,##0.00\)"/>
    <numFmt numFmtId="197" formatCode="#,##0.00_ ;\-#,##0.00\ "/>
    <numFmt numFmtId="198" formatCode="#,##0.0000"/>
    <numFmt numFmtId="199" formatCode="_(* #,##0.0000_);_(* \(#,##0.0000\);_(* &quot;-&quot;??_);_(@_)"/>
    <numFmt numFmtId="200" formatCode="0.0000000"/>
    <numFmt numFmtId="201" formatCode="0.00000000"/>
    <numFmt numFmtId="202" formatCode="0.000000"/>
    <numFmt numFmtId="203" formatCode="0.00000"/>
    <numFmt numFmtId="204" formatCode="0.0%"/>
  </numFmts>
  <fonts count="80">
    <font>
      <sz val="10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Helvetica35-Thin"/>
      <family val="2"/>
    </font>
    <font>
      <sz val="10"/>
      <name val="Helvetica35-Thin"/>
      <family val="2"/>
    </font>
    <font>
      <b/>
      <sz val="14"/>
      <name val="Helvetica35-Thin"/>
      <family val="2"/>
    </font>
    <font>
      <b/>
      <sz val="14"/>
      <name val="Arial"/>
      <family val="2"/>
    </font>
    <font>
      <sz val="14"/>
      <name val="Bookman Old Style"/>
      <family val="1"/>
    </font>
    <font>
      <sz val="14"/>
      <name val="Helvetica35-Thin"/>
      <family val="2"/>
    </font>
    <font>
      <sz val="8"/>
      <name val="Calibri"/>
      <family val="2"/>
    </font>
    <font>
      <sz val="9"/>
      <name val="Arial"/>
      <family val="2"/>
    </font>
    <font>
      <b/>
      <sz val="8"/>
      <name val="Bookman Old Style"/>
      <family val="1"/>
    </font>
    <font>
      <b/>
      <sz val="12"/>
      <name val="Bookman Old Style"/>
      <family val="1"/>
    </font>
    <font>
      <sz val="8"/>
      <name val="Bookman Old Style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63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sz val="7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222222"/>
      <name val="Arial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4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1" applyNumberFormat="0" applyAlignment="0" applyProtection="0"/>
    <xf numFmtId="0" fontId="57" fillId="29" borderId="2" applyNumberFormat="0" applyAlignment="0" applyProtection="0"/>
    <xf numFmtId="0" fontId="58" fillId="0" borderId="3" applyNumberFormat="0" applyFill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9" fillId="36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7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53" fillId="39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28" borderId="5" applyNumberFormat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1" fillId="0" borderId="9" applyNumberFormat="0" applyFill="0" applyAlignment="0" applyProtection="0"/>
    <xf numFmtId="179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9" fontId="1" fillId="0" borderId="0" xfId="85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65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97" fontId="1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72" fillId="0" borderId="0" xfId="65" applyFont="1">
      <alignment/>
      <protection/>
    </xf>
    <xf numFmtId="179" fontId="72" fillId="0" borderId="0" xfId="87" applyFont="1" applyAlignment="1">
      <alignment/>
    </xf>
    <xf numFmtId="179" fontId="72" fillId="0" borderId="10" xfId="87" applyFont="1" applyBorder="1" applyAlignment="1">
      <alignment/>
    </xf>
    <xf numFmtId="0" fontId="72" fillId="0" borderId="0" xfId="65" applyFont="1" applyBorder="1">
      <alignment/>
      <protection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79" fontId="72" fillId="0" borderId="13" xfId="87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72" fillId="0" borderId="14" xfId="65" applyFont="1" applyBorder="1">
      <alignment/>
      <protection/>
    </xf>
    <xf numFmtId="179" fontId="72" fillId="0" borderId="0" xfId="87" applyFont="1" applyBorder="1" applyAlignment="1">
      <alignment/>
    </xf>
    <xf numFmtId="179" fontId="72" fillId="0" borderId="15" xfId="87" applyFont="1" applyBorder="1" applyAlignment="1">
      <alignment/>
    </xf>
    <xf numFmtId="179" fontId="72" fillId="0" borderId="16" xfId="87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2" fillId="0" borderId="18" xfId="65" applyFont="1" applyBorder="1">
      <alignment/>
      <protection/>
    </xf>
    <xf numFmtId="179" fontId="72" fillId="0" borderId="18" xfId="87" applyFont="1" applyBorder="1" applyAlignment="1">
      <alignment/>
    </xf>
    <xf numFmtId="179" fontId="72" fillId="0" borderId="19" xfId="87" applyFont="1" applyBorder="1" applyAlignment="1">
      <alignment/>
    </xf>
    <xf numFmtId="179" fontId="72" fillId="0" borderId="20" xfId="87" applyFont="1" applyBorder="1" applyAlignment="1">
      <alignment/>
    </xf>
    <xf numFmtId="2" fontId="4" fillId="0" borderId="10" xfId="65" applyNumberFormat="1" applyFont="1" applyFill="1" applyBorder="1" applyAlignment="1" applyProtection="1">
      <alignment horizontal="center" vertical="center" wrapText="1"/>
      <protection/>
    </xf>
    <xf numFmtId="0" fontId="72" fillId="40" borderId="10" xfId="65" applyFont="1" applyFill="1" applyBorder="1" applyAlignment="1">
      <alignment horizontal="center" vertical="center"/>
      <protection/>
    </xf>
    <xf numFmtId="0" fontId="72" fillId="40" borderId="10" xfId="65" applyFont="1" applyFill="1" applyBorder="1" applyAlignment="1">
      <alignment vertical="center" wrapText="1"/>
      <protection/>
    </xf>
    <xf numFmtId="0" fontId="72" fillId="40" borderId="21" xfId="65" applyFont="1" applyFill="1" applyBorder="1" applyAlignment="1">
      <alignment horizontal="center" vertical="center"/>
      <protection/>
    </xf>
    <xf numFmtId="0" fontId="72" fillId="0" borderId="10" xfId="65" applyFont="1" applyBorder="1" applyAlignment="1">
      <alignment vertical="center"/>
      <protection/>
    </xf>
    <xf numFmtId="179" fontId="4" fillId="0" borderId="10" xfId="87" applyFont="1" applyFill="1" applyBorder="1" applyAlignment="1" applyProtection="1">
      <alignment horizontal="center" vertical="center"/>
      <protection/>
    </xf>
    <xf numFmtId="179" fontId="72" fillId="0" borderId="10" xfId="87" applyFont="1" applyBorder="1" applyAlignment="1">
      <alignment horizontal="center" vertical="center" wrapText="1"/>
    </xf>
    <xf numFmtId="179" fontId="72" fillId="0" borderId="16" xfId="87" applyFont="1" applyBorder="1" applyAlignment="1">
      <alignment horizontal="center" vertical="center" wrapText="1"/>
    </xf>
    <xf numFmtId="0" fontId="72" fillId="0" borderId="10" xfId="65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85" applyNumberFormat="1" applyFont="1" applyFill="1" applyBorder="1" applyAlignment="1">
      <alignment horizontal="center" vertical="center"/>
    </xf>
    <xf numFmtId="4" fontId="4" fillId="0" borderId="10" xfId="85" applyNumberFormat="1" applyFont="1" applyFill="1" applyBorder="1" applyAlignment="1">
      <alignment vertical="center"/>
    </xf>
    <xf numFmtId="4" fontId="4" fillId="0" borderId="16" xfId="85" applyNumberFormat="1" applyFont="1" applyFill="1" applyBorder="1" applyAlignment="1">
      <alignment vertical="center"/>
    </xf>
    <xf numFmtId="0" fontId="72" fillId="41" borderId="10" xfId="65" applyFont="1" applyFill="1" applyBorder="1" applyAlignment="1">
      <alignment horizontal="center" vertical="center" wrapText="1"/>
      <protection/>
    </xf>
    <xf numFmtId="0" fontId="72" fillId="41" borderId="16" xfId="65" applyFont="1" applyFill="1" applyBorder="1" applyAlignment="1">
      <alignment horizontal="center" vertical="center" wrapText="1"/>
      <protection/>
    </xf>
    <xf numFmtId="0" fontId="72" fillId="41" borderId="21" xfId="65" applyFont="1" applyFill="1" applyBorder="1" applyAlignment="1">
      <alignment horizontal="center" vertical="center" wrapText="1"/>
      <protection/>
    </xf>
    <xf numFmtId="179" fontId="4" fillId="0" borderId="21" xfId="85" applyFont="1" applyFill="1" applyBorder="1" applyAlignment="1">
      <alignment horizontal="left" vertical="center"/>
    </xf>
    <xf numFmtId="179" fontId="0" fillId="0" borderId="0" xfId="85" applyFont="1" applyAlignment="1">
      <alignment vertical="center"/>
    </xf>
    <xf numFmtId="0" fontId="0" fillId="0" borderId="0" xfId="0" applyAlignment="1">
      <alignment vertical="center"/>
    </xf>
    <xf numFmtId="0" fontId="0" fillId="0" borderId="0" xfId="85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179" fontId="72" fillId="0" borderId="0" xfId="87" applyFont="1" applyBorder="1" applyAlignment="1">
      <alignment horizontal="center" vertical="center" wrapText="1"/>
    </xf>
    <xf numFmtId="179" fontId="72" fillId="0" borderId="10" xfId="85" applyFont="1" applyBorder="1" applyAlignment="1">
      <alignment horizontal="right" vertical="center" wrapText="1"/>
    </xf>
    <xf numFmtId="179" fontId="1" fillId="0" borderId="0" xfId="91" applyFont="1" applyAlignment="1">
      <alignment horizontal="center" vertical="center"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 vertical="center"/>
    </xf>
    <xf numFmtId="4" fontId="15" fillId="0" borderId="12" xfId="0" applyNumberFormat="1" applyFont="1" applyFill="1" applyBorder="1" applyAlignment="1" applyProtection="1">
      <alignment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4" fontId="15" fillId="0" borderId="12" xfId="0" applyNumberFormat="1" applyFont="1" applyFill="1" applyBorder="1" applyAlignment="1" applyProtection="1">
      <alignment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 applyProtection="1">
      <alignment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4" fontId="15" fillId="0" borderId="23" xfId="0" applyNumberFormat="1" applyFont="1" applyFill="1" applyBorder="1" applyAlignment="1" applyProtection="1">
      <alignment vertical="center"/>
      <protection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17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9" fontId="4" fillId="0" borderId="0" xfId="91" applyFont="1" applyFill="1" applyAlignment="1">
      <alignment horizontal="center" vertical="center"/>
    </xf>
    <xf numFmtId="179" fontId="1" fillId="0" borderId="0" xfId="91" applyFont="1" applyBorder="1" applyAlignment="1">
      <alignment vertical="center"/>
    </xf>
    <xf numFmtId="179" fontId="4" fillId="0" borderId="0" xfId="91" applyFont="1" applyFill="1" applyBorder="1" applyAlignment="1">
      <alignment vertical="center"/>
    </xf>
    <xf numFmtId="4" fontId="3" fillId="42" borderId="20" xfId="91" applyNumberFormat="1" applyFont="1" applyFill="1" applyBorder="1" applyAlignment="1">
      <alignment horizontal="right"/>
    </xf>
    <xf numFmtId="179" fontId="12" fillId="0" borderId="0" xfId="91" applyFont="1" applyAlignment="1">
      <alignment horizontal="center" vertical="center"/>
    </xf>
    <xf numFmtId="0" fontId="0" fillId="0" borderId="0" xfId="0" applyFont="1" applyAlignment="1">
      <alignment/>
    </xf>
    <xf numFmtId="0" fontId="0" fillId="43" borderId="0" xfId="0" applyFill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44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44" borderId="0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72" fillId="40" borderId="21" xfId="65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3" fillId="0" borderId="12" xfId="0" applyFont="1" applyFill="1" applyBorder="1" applyAlignment="1" applyProtection="1">
      <alignment horizontal="center" vertical="center"/>
      <protection/>
    </xf>
    <xf numFmtId="4" fontId="0" fillId="0" borderId="10" xfId="85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left" vertical="center" wrapText="1"/>
      <protection/>
    </xf>
    <xf numFmtId="4" fontId="6" fillId="42" borderId="20" xfId="91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197" fontId="75" fillId="0" borderId="0" xfId="0" applyNumberFormat="1" applyFont="1" applyAlignment="1">
      <alignment vertical="center"/>
    </xf>
    <xf numFmtId="0" fontId="0" fillId="44" borderId="10" xfId="0" applyFont="1" applyFill="1" applyBorder="1" applyAlignment="1">
      <alignment vertical="center"/>
    </xf>
    <xf numFmtId="179" fontId="0" fillId="0" borderId="0" xfId="91" applyFont="1" applyAlignment="1">
      <alignment vertical="center"/>
    </xf>
    <xf numFmtId="0" fontId="0" fillId="0" borderId="0" xfId="0" applyFont="1" applyBorder="1" applyAlignment="1">
      <alignment vertical="center"/>
    </xf>
    <xf numFmtId="197" fontId="0" fillId="0" borderId="0" xfId="0" applyNumberFormat="1" applyFont="1" applyAlignment="1">
      <alignment vertical="center"/>
    </xf>
    <xf numFmtId="203" fontId="0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179" fontId="18" fillId="0" borderId="0" xfId="9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179" fontId="19" fillId="0" borderId="19" xfId="9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45" borderId="19" xfId="0" applyFont="1" applyFill="1" applyBorder="1" applyAlignment="1">
      <alignment horizontal="center" vertical="center"/>
    </xf>
    <xf numFmtId="0" fontId="19" fillId="4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 shrinkToFit="1"/>
    </xf>
    <xf numFmtId="179" fontId="19" fillId="0" borderId="28" xfId="9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79" fontId="20" fillId="0" borderId="13" xfId="91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vertical="center"/>
    </xf>
    <xf numFmtId="0" fontId="19" fillId="45" borderId="29" xfId="0" applyFont="1" applyFill="1" applyBorder="1" applyAlignment="1">
      <alignment vertical="center"/>
    </xf>
    <xf numFmtId="0" fontId="19" fillId="0" borderId="30" xfId="0" applyFont="1" applyFill="1" applyBorder="1" applyAlignment="1">
      <alignment vertical="center"/>
    </xf>
    <xf numFmtId="179" fontId="20" fillId="0" borderId="21" xfId="9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79" fontId="20" fillId="0" borderId="10" xfId="9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/>
    </xf>
    <xf numFmtId="4" fontId="20" fillId="45" borderId="10" xfId="0" applyNumberFormat="1" applyFont="1" applyFill="1" applyBorder="1" applyAlignment="1">
      <alignment horizontal="right"/>
    </xf>
    <xf numFmtId="4" fontId="20" fillId="40" borderId="10" xfId="91" applyNumberFormat="1" applyFont="1" applyFill="1" applyBorder="1" applyAlignment="1">
      <alignment horizontal="right"/>
    </xf>
    <xf numFmtId="4" fontId="20" fillId="0" borderId="10" xfId="91" applyNumberFormat="1" applyFont="1" applyFill="1" applyBorder="1" applyAlignment="1">
      <alignment horizontal="right"/>
    </xf>
    <xf numFmtId="4" fontId="20" fillId="0" borderId="16" xfId="91" applyNumberFormat="1" applyFont="1" applyFill="1" applyBorder="1" applyAlignment="1">
      <alignment horizontal="right"/>
    </xf>
    <xf numFmtId="0" fontId="19" fillId="41" borderId="21" xfId="0" applyFont="1" applyFill="1" applyBorder="1" applyAlignment="1">
      <alignment horizontal="center" vertical="center"/>
    </xf>
    <xf numFmtId="0" fontId="20" fillId="41" borderId="10" xfId="0" applyFont="1" applyFill="1" applyBorder="1" applyAlignment="1">
      <alignment horizontal="center" vertical="center" wrapText="1"/>
    </xf>
    <xf numFmtId="179" fontId="20" fillId="41" borderId="10" xfId="91" applyFont="1" applyFill="1" applyBorder="1" applyAlignment="1">
      <alignment horizontal="center" vertical="center"/>
    </xf>
    <xf numFmtId="0" fontId="19" fillId="41" borderId="10" xfId="0" applyFont="1" applyFill="1" applyBorder="1" applyAlignment="1">
      <alignment horizontal="center" vertical="center"/>
    </xf>
    <xf numFmtId="4" fontId="19" fillId="41" borderId="10" xfId="0" applyNumberFormat="1" applyFont="1" applyFill="1" applyBorder="1" applyAlignment="1">
      <alignment horizontal="right"/>
    </xf>
    <xf numFmtId="4" fontId="19" fillId="41" borderId="10" xfId="91" applyNumberFormat="1" applyFont="1" applyFill="1" applyBorder="1" applyAlignment="1">
      <alignment horizontal="right"/>
    </xf>
    <xf numFmtId="4" fontId="19" fillId="41" borderId="16" xfId="91" applyNumberFormat="1" applyFont="1" applyFill="1" applyBorder="1" applyAlignment="1">
      <alignment horizontal="right"/>
    </xf>
    <xf numFmtId="179" fontId="19" fillId="0" borderId="21" xfId="91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vertical="center"/>
    </xf>
    <xf numFmtId="4" fontId="19" fillId="0" borderId="31" xfId="0" applyNumberFormat="1" applyFont="1" applyFill="1" applyBorder="1" applyAlignment="1">
      <alignment horizontal="right"/>
    </xf>
    <xf numFmtId="4" fontId="19" fillId="0" borderId="32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4" fontId="19" fillId="45" borderId="10" xfId="0" applyNumberFormat="1" applyFont="1" applyFill="1" applyBorder="1" applyAlignment="1">
      <alignment horizontal="right"/>
    </xf>
    <xf numFmtId="179" fontId="20" fillId="0" borderId="10" xfId="9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right"/>
    </xf>
    <xf numFmtId="4" fontId="19" fillId="0" borderId="16" xfId="0" applyNumberFormat="1" applyFont="1" applyFill="1" applyBorder="1" applyAlignment="1">
      <alignment horizontal="right"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31" xfId="0" applyNumberFormat="1" applyFont="1" applyFill="1" applyBorder="1" applyAlignment="1">
      <alignment vertical="center" wrapText="1"/>
    </xf>
    <xf numFmtId="0" fontId="20" fillId="0" borderId="31" xfId="0" applyNumberFormat="1" applyFont="1" applyFill="1" applyBorder="1" applyAlignment="1">
      <alignment vertical="top" wrapText="1"/>
    </xf>
    <xf numFmtId="179" fontId="20" fillId="41" borderId="21" xfId="91" applyFont="1" applyFill="1" applyBorder="1" applyAlignment="1">
      <alignment horizontal="center" vertical="center"/>
    </xf>
    <xf numFmtId="0" fontId="19" fillId="41" borderId="10" xfId="0" applyFont="1" applyFill="1" applyBorder="1" applyAlignment="1">
      <alignment horizontal="center"/>
    </xf>
    <xf numFmtId="0" fontId="19" fillId="0" borderId="31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horizontal="center" wrapText="1"/>
    </xf>
    <xf numFmtId="4" fontId="19" fillId="45" borderId="31" xfId="0" applyNumberFormat="1" applyFont="1" applyFill="1" applyBorder="1" applyAlignment="1">
      <alignment horizontal="right" wrapText="1"/>
    </xf>
    <xf numFmtId="4" fontId="19" fillId="0" borderId="31" xfId="0" applyNumberFormat="1" applyFont="1" applyFill="1" applyBorder="1" applyAlignment="1">
      <alignment horizontal="right" wrapText="1"/>
    </xf>
    <xf numFmtId="4" fontId="19" fillId="0" borderId="32" xfId="0" applyNumberFormat="1" applyFont="1" applyFill="1" applyBorder="1" applyAlignment="1">
      <alignment horizontal="right" wrapText="1"/>
    </xf>
    <xf numFmtId="0" fontId="20" fillId="0" borderId="11" xfId="0" applyFont="1" applyFill="1" applyBorder="1" applyAlignment="1">
      <alignment horizontal="left" wrapText="1"/>
    </xf>
    <xf numFmtId="0" fontId="20" fillId="41" borderId="10" xfId="0" applyFont="1" applyFill="1" applyBorder="1" applyAlignment="1">
      <alignment horizontal="center" vertical="center"/>
    </xf>
    <xf numFmtId="0" fontId="20" fillId="44" borderId="11" xfId="0" applyFont="1" applyFill="1" applyBorder="1" applyAlignment="1">
      <alignment vertical="top" wrapText="1"/>
    </xf>
    <xf numFmtId="179" fontId="19" fillId="41" borderId="21" xfId="91" applyFont="1" applyFill="1" applyBorder="1" applyAlignment="1">
      <alignment horizontal="center" vertical="center"/>
    </xf>
    <xf numFmtId="0" fontId="19" fillId="41" borderId="10" xfId="0" applyFont="1" applyFill="1" applyBorder="1" applyAlignment="1">
      <alignment horizontal="center" vertical="center" wrapText="1"/>
    </xf>
    <xf numFmtId="0" fontId="19" fillId="41" borderId="10" xfId="0" applyFont="1" applyFill="1" applyBorder="1" applyAlignment="1">
      <alignment horizontal="center" wrapText="1"/>
    </xf>
    <xf numFmtId="4" fontId="19" fillId="45" borderId="10" xfId="0" applyNumberFormat="1" applyFont="1" applyFill="1" applyBorder="1" applyAlignment="1">
      <alignment horizontal="right" wrapText="1"/>
    </xf>
    <xf numFmtId="4" fontId="19" fillId="41" borderId="10" xfId="0" applyNumberFormat="1" applyFont="1" applyFill="1" applyBorder="1" applyAlignment="1">
      <alignment horizontal="right" wrapText="1"/>
    </xf>
    <xf numFmtId="4" fontId="19" fillId="41" borderId="16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right" wrapText="1"/>
    </xf>
    <xf numFmtId="4" fontId="19" fillId="0" borderId="16" xfId="0" applyNumberFormat="1" applyFont="1" applyFill="1" applyBorder="1" applyAlignment="1">
      <alignment horizontal="right" wrapText="1"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10" xfId="61" applyFont="1" applyFill="1" applyBorder="1" applyAlignment="1" applyProtection="1">
      <alignment horizontal="left" vertical="center" wrapText="1"/>
      <protection/>
    </xf>
    <xf numFmtId="0" fontId="20" fillId="0" borderId="11" xfId="61" applyFont="1" applyFill="1" applyBorder="1" applyAlignment="1" applyProtection="1">
      <alignment horizontal="left" vertical="center" wrapText="1"/>
      <protection/>
    </xf>
    <xf numFmtId="0" fontId="20" fillId="0" borderId="31" xfId="61" applyFont="1" applyFill="1" applyBorder="1" applyAlignment="1" applyProtection="1">
      <alignment horizontal="left" vertical="center" wrapText="1"/>
      <protection/>
    </xf>
    <xf numFmtId="4" fontId="20" fillId="45" borderId="10" xfId="0" applyNumberFormat="1" applyFont="1" applyFill="1" applyBorder="1" applyAlignment="1" applyProtection="1">
      <alignment horizontal="right"/>
      <protection/>
    </xf>
    <xf numFmtId="0" fontId="19" fillId="0" borderId="2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/>
    </xf>
    <xf numFmtId="4" fontId="19" fillId="0" borderId="10" xfId="91" applyNumberFormat="1" applyFont="1" applyFill="1" applyBorder="1" applyAlignment="1">
      <alignment horizontal="right"/>
    </xf>
    <xf numFmtId="4" fontId="19" fillId="0" borderId="16" xfId="91" applyNumberFormat="1" applyFont="1" applyFill="1" applyBorder="1" applyAlignment="1">
      <alignment horizontal="right"/>
    </xf>
    <xf numFmtId="0" fontId="20" fillId="0" borderId="10" xfId="61" applyFont="1" applyFill="1" applyBorder="1" applyAlignment="1" applyProtection="1">
      <alignment horizontal="center" vertical="center"/>
      <protection/>
    </xf>
    <xf numFmtId="0" fontId="20" fillId="0" borderId="10" xfId="61" applyFont="1" applyFill="1" applyBorder="1" applyAlignment="1" applyProtection="1">
      <alignment horizontal="center" wrapText="1"/>
      <protection/>
    </xf>
    <xf numFmtId="4" fontId="20" fillId="45" borderId="10" xfId="61" applyNumberFormat="1" applyFont="1" applyFill="1" applyBorder="1" applyAlignment="1" applyProtection="1">
      <alignment horizontal="right" wrapText="1"/>
      <protection/>
    </xf>
    <xf numFmtId="4" fontId="20" fillId="45" borderId="11" xfId="61" applyNumberFormat="1" applyFont="1" applyFill="1" applyBorder="1" applyAlignment="1" applyProtection="1">
      <alignment horizontal="right" wrapText="1"/>
      <protection/>
    </xf>
    <xf numFmtId="0" fontId="20" fillId="0" borderId="33" xfId="0" applyFont="1" applyFill="1" applyBorder="1" applyAlignment="1">
      <alignment horizontal="center" vertical="center" wrapText="1"/>
    </xf>
    <xf numFmtId="0" fontId="20" fillId="0" borderId="11" xfId="61" applyFont="1" applyFill="1" applyBorder="1" applyAlignment="1" applyProtection="1">
      <alignment horizontal="center" wrapText="1"/>
      <protection/>
    </xf>
    <xf numFmtId="0" fontId="20" fillId="41" borderId="21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vertical="center" wrapText="1"/>
    </xf>
    <xf numFmtId="4" fontId="20" fillId="45" borderId="10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 quotePrefix="1">
      <alignment vertical="center" wrapText="1"/>
    </xf>
    <xf numFmtId="4" fontId="20" fillId="44" borderId="10" xfId="91" applyNumberFormat="1" applyFont="1" applyFill="1" applyBorder="1" applyAlignment="1">
      <alignment horizontal="right"/>
    </xf>
    <xf numFmtId="4" fontId="20" fillId="44" borderId="16" xfId="91" applyNumberFormat="1" applyFont="1" applyFill="1" applyBorder="1" applyAlignment="1">
      <alignment horizontal="right"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4" fontId="20" fillId="45" borderId="10" xfId="0" applyNumberFormat="1" applyFont="1" applyFill="1" applyBorder="1" applyAlignment="1" applyProtection="1">
      <alignment horizontal="right" wrapText="1"/>
      <protection/>
    </xf>
    <xf numFmtId="0" fontId="20" fillId="0" borderId="33" xfId="0" applyFont="1" applyFill="1" applyBorder="1" applyAlignment="1" applyProtection="1">
      <alignment horizontal="center" vertical="center" wrapText="1"/>
      <protection/>
    </xf>
    <xf numFmtId="4" fontId="19" fillId="45" borderId="10" xfId="0" applyNumberFormat="1" applyFont="1" applyFill="1" applyBorder="1" applyAlignment="1">
      <alignment horizontal="right" vertical="center"/>
    </xf>
    <xf numFmtId="0" fontId="20" fillId="42" borderId="27" xfId="0" applyFont="1" applyFill="1" applyBorder="1" applyAlignment="1">
      <alignment horizontal="center" vertical="center"/>
    </xf>
    <xf numFmtId="0" fontId="20" fillId="42" borderId="19" xfId="0" applyFont="1" applyFill="1" applyBorder="1" applyAlignment="1">
      <alignment horizontal="center" vertical="center" wrapText="1"/>
    </xf>
    <xf numFmtId="0" fontId="19" fillId="42" borderId="34" xfId="0" applyFont="1" applyFill="1" applyBorder="1" applyAlignment="1">
      <alignment horizontal="center" vertical="center"/>
    </xf>
    <xf numFmtId="0" fontId="19" fillId="42" borderId="35" xfId="0" applyFont="1" applyFill="1" applyBorder="1" applyAlignment="1">
      <alignment vertical="center"/>
    </xf>
    <xf numFmtId="4" fontId="19" fillId="42" borderId="35" xfId="0" applyNumberFormat="1" applyFont="1" applyFill="1" applyBorder="1" applyAlignment="1">
      <alignment horizontal="right" vertical="center"/>
    </xf>
    <xf numFmtId="4" fontId="19" fillId="42" borderId="35" xfId="0" applyNumberFormat="1" applyFont="1" applyFill="1" applyBorder="1" applyAlignment="1">
      <alignment horizontal="right"/>
    </xf>
    <xf numFmtId="4" fontId="19" fillId="42" borderId="36" xfId="0" applyNumberFormat="1" applyFont="1" applyFill="1" applyBorder="1" applyAlignment="1">
      <alignment horizontal="right"/>
    </xf>
    <xf numFmtId="4" fontId="19" fillId="42" borderId="19" xfId="91" applyNumberFormat="1" applyFont="1" applyFill="1" applyBorder="1" applyAlignment="1">
      <alignment horizontal="right"/>
    </xf>
    <xf numFmtId="4" fontId="19" fillId="42" borderId="20" xfId="91" applyNumberFormat="1" applyFont="1" applyFill="1" applyBorder="1" applyAlignment="1">
      <alignment horizontal="right"/>
    </xf>
    <xf numFmtId="0" fontId="20" fillId="0" borderId="0" xfId="0" applyFont="1" applyFill="1" applyAlignment="1">
      <alignment horizontal="center" vertical="center"/>
    </xf>
    <xf numFmtId="39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179" fontId="20" fillId="0" borderId="0" xfId="91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79" fontId="20" fillId="0" borderId="0" xfId="91" applyFont="1" applyFill="1" applyAlignment="1">
      <alignment vertical="center" wrapText="1"/>
    </xf>
    <xf numFmtId="179" fontId="20" fillId="0" borderId="0" xfId="91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179" fontId="20" fillId="0" borderId="0" xfId="91" applyFont="1" applyFill="1" applyAlignment="1">
      <alignment vertical="center"/>
    </xf>
    <xf numFmtId="179" fontId="76" fillId="0" borderId="0" xfId="91" applyFont="1" applyFill="1" applyBorder="1" applyAlignment="1">
      <alignment vertical="center"/>
    </xf>
    <xf numFmtId="0" fontId="77" fillId="0" borderId="0" xfId="0" applyFont="1" applyFill="1" applyAlignment="1">
      <alignment horizontal="justify" vertical="center" wrapText="1"/>
    </xf>
    <xf numFmtId="0" fontId="20" fillId="0" borderId="0" xfId="0" applyFont="1" applyFill="1" applyBorder="1" applyAlignment="1">
      <alignment vertical="center"/>
    </xf>
    <xf numFmtId="179" fontId="20" fillId="0" borderId="0" xfId="91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41" borderId="21" xfId="0" applyFont="1" applyFill="1" applyBorder="1" applyAlignment="1">
      <alignment/>
    </xf>
    <xf numFmtId="0" fontId="20" fillId="41" borderId="10" xfId="0" applyFont="1" applyFill="1" applyBorder="1" applyAlignment="1">
      <alignment/>
    </xf>
    <xf numFmtId="0" fontId="20" fillId="41" borderId="10" xfId="0" applyFont="1" applyFill="1" applyBorder="1" applyAlignment="1">
      <alignment horizontal="center"/>
    </xf>
    <xf numFmtId="0" fontId="20" fillId="41" borderId="16" xfId="0" applyFont="1" applyFill="1" applyBorder="1" applyAlignment="1">
      <alignment horizontal="center"/>
    </xf>
    <xf numFmtId="0" fontId="19" fillId="43" borderId="21" xfId="0" applyFont="1" applyFill="1" applyBorder="1" applyAlignment="1">
      <alignment horizontal="center"/>
    </xf>
    <xf numFmtId="0" fontId="20" fillId="43" borderId="10" xfId="0" applyFont="1" applyFill="1" applyBorder="1" applyAlignment="1">
      <alignment/>
    </xf>
    <xf numFmtId="179" fontId="20" fillId="40" borderId="10" xfId="91" applyFont="1" applyFill="1" applyBorder="1" applyAlignment="1">
      <alignment/>
    </xf>
    <xf numFmtId="179" fontId="20" fillId="43" borderId="10" xfId="91" applyFont="1" applyFill="1" applyBorder="1" applyAlignment="1">
      <alignment/>
    </xf>
    <xf numFmtId="0" fontId="20" fillId="40" borderId="10" xfId="0" applyFont="1" applyFill="1" applyBorder="1" applyAlignment="1">
      <alignment/>
    </xf>
    <xf numFmtId="187" fontId="20" fillId="40" borderId="10" xfId="91" applyNumberFormat="1" applyFont="1" applyFill="1" applyBorder="1" applyAlignment="1">
      <alignment/>
    </xf>
    <xf numFmtId="179" fontId="20" fillId="0" borderId="10" xfId="91" applyFont="1" applyBorder="1" applyAlignment="1">
      <alignment/>
    </xf>
    <xf numFmtId="0" fontId="20" fillId="40" borderId="10" xfId="0" applyFont="1" applyFill="1" applyBorder="1" applyAlignment="1">
      <alignment horizontal="center"/>
    </xf>
    <xf numFmtId="179" fontId="20" fillId="43" borderId="16" xfId="91" applyFont="1" applyFill="1" applyBorder="1" applyAlignment="1">
      <alignment/>
    </xf>
    <xf numFmtId="179" fontId="20" fillId="41" borderId="10" xfId="91" applyFont="1" applyFill="1" applyBorder="1" applyAlignment="1">
      <alignment/>
    </xf>
    <xf numFmtId="179" fontId="20" fillId="41" borderId="16" xfId="91" applyFont="1" applyFill="1" applyBorder="1" applyAlignment="1">
      <alignment/>
    </xf>
    <xf numFmtId="0" fontId="20" fillId="41" borderId="27" xfId="0" applyFont="1" applyFill="1" applyBorder="1" applyAlignment="1">
      <alignment/>
    </xf>
    <xf numFmtId="0" fontId="20" fillId="41" borderId="19" xfId="0" applyFont="1" applyFill="1" applyBorder="1" applyAlignment="1">
      <alignment/>
    </xf>
    <xf numFmtId="179" fontId="20" fillId="41" borderId="19" xfId="91" applyFont="1" applyFill="1" applyBorder="1" applyAlignment="1">
      <alignment/>
    </xf>
    <xf numFmtId="179" fontId="20" fillId="41" borderId="20" xfId="91" applyFont="1" applyFill="1" applyBorder="1" applyAlignment="1">
      <alignment/>
    </xf>
    <xf numFmtId="0" fontId="20" fillId="43" borderId="25" xfId="0" applyFont="1" applyFill="1" applyBorder="1" applyAlignment="1">
      <alignment/>
    </xf>
    <xf numFmtId="2" fontId="20" fillId="43" borderId="26" xfId="91" applyNumberFormat="1" applyFont="1" applyFill="1" applyBorder="1" applyAlignment="1">
      <alignment/>
    </xf>
    <xf numFmtId="179" fontId="20" fillId="43" borderId="26" xfId="91" applyFont="1" applyFill="1" applyBorder="1" applyAlignment="1">
      <alignment/>
    </xf>
    <xf numFmtId="0" fontId="20" fillId="43" borderId="26" xfId="0" applyFont="1" applyFill="1" applyBorder="1" applyAlignment="1">
      <alignment/>
    </xf>
    <xf numFmtId="179" fontId="20" fillId="0" borderId="26" xfId="91" applyFont="1" applyBorder="1" applyAlignment="1">
      <alignment/>
    </xf>
    <xf numFmtId="179" fontId="20" fillId="43" borderId="37" xfId="91" applyFont="1" applyFill="1" applyBorder="1" applyAlignment="1">
      <alignment/>
    </xf>
    <xf numFmtId="0" fontId="20" fillId="43" borderId="21" xfId="0" applyFont="1" applyFill="1" applyBorder="1" applyAlignment="1">
      <alignment/>
    </xf>
    <xf numFmtId="0" fontId="20" fillId="0" borderId="10" xfId="0" applyFont="1" applyBorder="1" applyAlignment="1">
      <alignment/>
    </xf>
    <xf numFmtId="2" fontId="20" fillId="43" borderId="10" xfId="91" applyNumberFormat="1" applyFont="1" applyFill="1" applyBorder="1" applyAlignment="1">
      <alignment/>
    </xf>
    <xf numFmtId="171" fontId="20" fillId="43" borderId="10" xfId="0" applyNumberFormat="1" applyFont="1" applyFill="1" applyBorder="1" applyAlignment="1">
      <alignment/>
    </xf>
    <xf numFmtId="0" fontId="20" fillId="0" borderId="27" xfId="0" applyFont="1" applyBorder="1" applyAlignment="1">
      <alignment/>
    </xf>
    <xf numFmtId="0" fontId="20" fillId="43" borderId="19" xfId="0" applyFont="1" applyFill="1" applyBorder="1" applyAlignment="1">
      <alignment/>
    </xf>
    <xf numFmtId="0" fontId="20" fillId="43" borderId="19" xfId="91" applyNumberFormat="1" applyFont="1" applyFill="1" applyBorder="1" applyAlignment="1">
      <alignment/>
    </xf>
    <xf numFmtId="179" fontId="20" fillId="43" borderId="19" xfId="91" applyFont="1" applyFill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4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5" xfId="0" applyFont="1" applyBorder="1" applyAlignment="1">
      <alignment/>
    </xf>
    <xf numFmtId="0" fontId="78" fillId="41" borderId="21" xfId="65" applyFont="1" applyFill="1" applyBorder="1" applyAlignment="1">
      <alignment horizontal="center" vertical="center" wrapText="1"/>
      <protection/>
    </xf>
    <xf numFmtId="0" fontId="78" fillId="41" borderId="10" xfId="65" applyFont="1" applyFill="1" applyBorder="1" applyAlignment="1">
      <alignment horizontal="center" vertical="center" wrapText="1"/>
      <protection/>
    </xf>
    <xf numFmtId="0" fontId="78" fillId="41" borderId="16" xfId="65" applyFont="1" applyFill="1" applyBorder="1" applyAlignment="1">
      <alignment horizontal="center" vertical="center" wrapText="1"/>
      <protection/>
    </xf>
    <xf numFmtId="0" fontId="78" fillId="40" borderId="21" xfId="65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78" fillId="40" borderId="10" xfId="65" applyFont="1" applyFill="1" applyBorder="1" applyAlignment="1">
      <alignment vertical="center" wrapText="1"/>
      <protection/>
    </xf>
    <xf numFmtId="179" fontId="45" fillId="0" borderId="10" xfId="87" applyFont="1" applyFill="1" applyBorder="1" applyAlignment="1" applyProtection="1">
      <alignment horizontal="center" vertical="center"/>
      <protection/>
    </xf>
    <xf numFmtId="179" fontId="78" fillId="0" borderId="10" xfId="87" applyFont="1" applyBorder="1" applyAlignment="1">
      <alignment horizontal="center" vertical="center" wrapText="1"/>
    </xf>
    <xf numFmtId="179" fontId="78" fillId="0" borderId="16" xfId="87" applyFont="1" applyBorder="1" applyAlignment="1">
      <alignment horizontal="center" vertical="center" wrapText="1"/>
    </xf>
    <xf numFmtId="2" fontId="45" fillId="0" borderId="10" xfId="65" applyNumberFormat="1" applyFont="1" applyFill="1" applyBorder="1" applyAlignment="1" applyProtection="1">
      <alignment horizontal="center" vertical="center" wrapText="1"/>
      <protection/>
    </xf>
    <xf numFmtId="0" fontId="45" fillId="0" borderId="10" xfId="65" applyFont="1" applyFill="1" applyBorder="1" applyAlignment="1" applyProtection="1">
      <alignment horizontal="center" vertical="center" wrapText="1"/>
      <protection/>
    </xf>
    <xf numFmtId="0" fontId="78" fillId="40" borderId="21" xfId="65" applyFont="1" applyFill="1" applyBorder="1" applyAlignment="1">
      <alignment horizontal="center" vertical="center"/>
      <protection/>
    </xf>
    <xf numFmtId="0" fontId="78" fillId="0" borderId="10" xfId="65" applyFont="1" applyBorder="1" applyAlignment="1">
      <alignment vertical="center"/>
      <protection/>
    </xf>
    <xf numFmtId="0" fontId="78" fillId="40" borderId="10" xfId="65" applyFont="1" applyFill="1" applyBorder="1" applyAlignment="1">
      <alignment horizontal="center" vertical="center"/>
      <protection/>
    </xf>
    <xf numFmtId="0" fontId="78" fillId="0" borderId="10" xfId="65" applyFont="1" applyBorder="1" applyAlignment="1">
      <alignment horizontal="center" vertical="center" wrapText="1"/>
      <protection/>
    </xf>
    <xf numFmtId="0" fontId="78" fillId="0" borderId="14" xfId="65" applyFont="1" applyBorder="1">
      <alignment/>
      <protection/>
    </xf>
    <xf numFmtId="0" fontId="78" fillId="0" borderId="0" xfId="65" applyFont="1" applyBorder="1">
      <alignment/>
      <protection/>
    </xf>
    <xf numFmtId="179" fontId="78" fillId="0" borderId="0" xfId="87" applyFont="1" applyBorder="1" applyAlignment="1">
      <alignment/>
    </xf>
    <xf numFmtId="179" fontId="78" fillId="0" borderId="15" xfId="87" applyFont="1" applyBorder="1" applyAlignment="1">
      <alignment/>
    </xf>
    <xf numFmtId="179" fontId="78" fillId="0" borderId="10" xfId="87" applyFont="1" applyBorder="1" applyAlignment="1">
      <alignment/>
    </xf>
    <xf numFmtId="179" fontId="78" fillId="0" borderId="16" xfId="87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78" fillId="0" borderId="18" xfId="65" applyFont="1" applyBorder="1">
      <alignment/>
      <protection/>
    </xf>
    <xf numFmtId="179" fontId="78" fillId="0" borderId="18" xfId="87" applyFont="1" applyBorder="1" applyAlignment="1">
      <alignment/>
    </xf>
    <xf numFmtId="179" fontId="78" fillId="0" borderId="19" xfId="87" applyFont="1" applyBorder="1" applyAlignment="1">
      <alignment/>
    </xf>
    <xf numFmtId="179" fontId="78" fillId="0" borderId="20" xfId="87" applyFont="1" applyBorder="1" applyAlignment="1">
      <alignment/>
    </xf>
    <xf numFmtId="0" fontId="78" fillId="0" borderId="0" xfId="65" applyFont="1">
      <alignment/>
      <protection/>
    </xf>
    <xf numFmtId="179" fontId="78" fillId="0" borderId="0" xfId="87" applyFont="1" applyAlignment="1">
      <alignment/>
    </xf>
    <xf numFmtId="179" fontId="78" fillId="0" borderId="13" xfId="87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79" fillId="41" borderId="21" xfId="65" applyFont="1" applyFill="1" applyBorder="1" applyAlignment="1">
      <alignment horizontal="center" vertical="center" wrapText="1"/>
      <protection/>
    </xf>
    <xf numFmtId="0" fontId="79" fillId="41" borderId="10" xfId="65" applyFont="1" applyFill="1" applyBorder="1" applyAlignment="1">
      <alignment horizontal="center" vertical="center" wrapText="1"/>
      <protection/>
    </xf>
    <xf numFmtId="0" fontId="79" fillId="41" borderId="16" xfId="65" applyFont="1" applyFill="1" applyBorder="1" applyAlignment="1">
      <alignment horizontal="center" vertical="center" wrapText="1"/>
      <protection/>
    </xf>
    <xf numFmtId="0" fontId="79" fillId="40" borderId="10" xfId="65" applyFont="1" applyFill="1" applyBorder="1" applyAlignment="1">
      <alignment vertical="center" wrapText="1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179" fontId="14" fillId="0" borderId="10" xfId="87" applyFont="1" applyFill="1" applyBorder="1" applyAlignment="1" applyProtection="1">
      <alignment horizontal="center" vertical="center"/>
      <protection/>
    </xf>
    <xf numFmtId="179" fontId="79" fillId="0" borderId="10" xfId="87" applyFont="1" applyBorder="1" applyAlignment="1">
      <alignment horizontal="center" vertical="center" wrapText="1"/>
    </xf>
    <xf numFmtId="179" fontId="79" fillId="0" borderId="16" xfId="87" applyFont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/>
      <protection/>
    </xf>
    <xf numFmtId="2" fontId="14" fillId="0" borderId="10" xfId="65" applyNumberFormat="1" applyFont="1" applyFill="1" applyBorder="1" applyAlignment="1" applyProtection="1">
      <alignment horizontal="center" vertical="center" wrapText="1"/>
      <protection/>
    </xf>
    <xf numFmtId="0" fontId="79" fillId="40" borderId="21" xfId="65" applyFont="1" applyFill="1" applyBorder="1" applyAlignment="1">
      <alignment horizontal="center" vertical="center"/>
      <protection/>
    </xf>
    <xf numFmtId="0" fontId="79" fillId="0" borderId="10" xfId="65" applyFont="1" applyBorder="1" applyAlignment="1">
      <alignment vertical="center"/>
      <protection/>
    </xf>
    <xf numFmtId="0" fontId="79" fillId="40" borderId="10" xfId="65" applyFont="1" applyFill="1" applyBorder="1" applyAlignment="1">
      <alignment horizontal="center" vertical="center"/>
      <protection/>
    </xf>
    <xf numFmtId="0" fontId="79" fillId="0" borderId="10" xfId="65" applyFont="1" applyBorder="1" applyAlignment="1">
      <alignment horizontal="center" vertical="center" wrapText="1"/>
      <protection/>
    </xf>
    <xf numFmtId="0" fontId="79" fillId="0" borderId="14" xfId="65" applyFont="1" applyBorder="1">
      <alignment/>
      <protection/>
    </xf>
    <xf numFmtId="0" fontId="79" fillId="0" borderId="0" xfId="65" applyFont="1" applyBorder="1">
      <alignment/>
      <protection/>
    </xf>
    <xf numFmtId="179" fontId="79" fillId="0" borderId="0" xfId="87" applyFont="1" applyBorder="1" applyAlignment="1">
      <alignment/>
    </xf>
    <xf numFmtId="179" fontId="79" fillId="0" borderId="15" xfId="87" applyFont="1" applyBorder="1" applyAlignment="1">
      <alignment/>
    </xf>
    <xf numFmtId="179" fontId="79" fillId="0" borderId="10" xfId="87" applyFont="1" applyBorder="1" applyAlignment="1">
      <alignment/>
    </xf>
    <xf numFmtId="179" fontId="79" fillId="0" borderId="16" xfId="87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79" fillId="0" borderId="18" xfId="65" applyFont="1" applyBorder="1">
      <alignment/>
      <protection/>
    </xf>
    <xf numFmtId="179" fontId="79" fillId="0" borderId="18" xfId="87" applyFont="1" applyBorder="1" applyAlignment="1">
      <alignment/>
    </xf>
    <xf numFmtId="179" fontId="79" fillId="0" borderId="19" xfId="87" applyFont="1" applyBorder="1" applyAlignment="1">
      <alignment/>
    </xf>
    <xf numFmtId="179" fontId="79" fillId="0" borderId="20" xfId="87" applyFont="1" applyBorder="1" applyAlignment="1">
      <alignment/>
    </xf>
    <xf numFmtId="0" fontId="79" fillId="0" borderId="0" xfId="65" applyFont="1">
      <alignment/>
      <protection/>
    </xf>
    <xf numFmtId="179" fontId="79" fillId="0" borderId="0" xfId="87" applyFont="1" applyAlignment="1">
      <alignment/>
    </xf>
    <xf numFmtId="179" fontId="79" fillId="0" borderId="13" xfId="87" applyFont="1" applyBorder="1" applyAlignment="1">
      <alignment/>
    </xf>
    <xf numFmtId="0" fontId="14" fillId="0" borderId="10" xfId="65" applyFont="1" applyFill="1" applyBorder="1" applyAlignment="1" applyProtection="1">
      <alignment horizontal="center" vertical="center" wrapText="1"/>
      <protection/>
    </xf>
    <xf numFmtId="2" fontId="14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186" fontId="14" fillId="0" borderId="10" xfId="0" applyNumberFormat="1" applyFont="1" applyFill="1" applyBorder="1" applyAlignment="1" applyProtection="1">
      <alignment horizontal="center" vertical="center"/>
      <protection/>
    </xf>
    <xf numFmtId="186" fontId="14" fillId="0" borderId="10" xfId="65" applyNumberFormat="1" applyFont="1" applyFill="1" applyBorder="1" applyAlignment="1" applyProtection="1">
      <alignment horizontal="center" vertical="center" wrapText="1"/>
      <protection/>
    </xf>
    <xf numFmtId="0" fontId="79" fillId="40" borderId="21" xfId="65" applyFont="1" applyFill="1" applyBorder="1" applyAlignment="1">
      <alignment vertical="center" wrapText="1"/>
      <protection/>
    </xf>
    <xf numFmtId="0" fontId="78" fillId="40" borderId="21" xfId="65" applyFont="1" applyFill="1" applyBorder="1" applyAlignment="1">
      <alignment vertical="center" wrapText="1"/>
      <protection/>
    </xf>
    <xf numFmtId="186" fontId="79" fillId="0" borderId="10" xfId="65" applyNumberFormat="1" applyFont="1" applyBorder="1" applyAlignment="1">
      <alignment horizontal="center" vertical="center" wrapText="1"/>
      <protection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left" vertical="top" wrapText="1"/>
    </xf>
    <xf numFmtId="0" fontId="19" fillId="0" borderId="37" xfId="0" applyFont="1" applyFill="1" applyBorder="1" applyAlignment="1">
      <alignment horizontal="center" vertical="center" wrapText="1" shrinkToFit="1"/>
    </xf>
    <xf numFmtId="0" fontId="19" fillId="0" borderId="20" xfId="0" applyFont="1" applyFill="1" applyBorder="1" applyAlignment="1">
      <alignment horizontal="center" vertical="center" wrapText="1" shrinkToFit="1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0" fillId="41" borderId="10" xfId="0" applyFont="1" applyFill="1" applyBorder="1" applyAlignment="1">
      <alignment horizontal="center"/>
    </xf>
    <xf numFmtId="0" fontId="20" fillId="41" borderId="16" xfId="0" applyFont="1" applyFill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8" fillId="0" borderId="25" xfId="0" applyFont="1" applyBorder="1" applyAlignment="1">
      <alignment horizontal="center" wrapText="1"/>
    </xf>
    <xf numFmtId="0" fontId="46" fillId="0" borderId="25" xfId="0" applyFont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6" fillId="0" borderId="37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37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</cellXfs>
  <cellStyles count="78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6" xfId="24"/>
    <cellStyle name="40% - Ênfase1" xfId="25"/>
    <cellStyle name="40% - Ênfase2" xfId="26"/>
    <cellStyle name="40% - Ênfase3" xfId="27"/>
    <cellStyle name="40% - Ênfase3 2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3 2" xfId="35"/>
    <cellStyle name="60% - Ênfase4" xfId="36"/>
    <cellStyle name="60% - Ênfase4 2" xfId="37"/>
    <cellStyle name="60% - Ênfase5" xfId="38"/>
    <cellStyle name="60% - Ênfase6" xfId="39"/>
    <cellStyle name="60% - Ênfase6 2" xfId="40"/>
    <cellStyle name="Bom" xfId="41"/>
    <cellStyle name="Cálculo" xfId="42"/>
    <cellStyle name="Célula de Verificação" xfId="43"/>
    <cellStyle name="Célula Vinculada" xfId="44"/>
    <cellStyle name="Ênfase1" xfId="45"/>
    <cellStyle name="Ênfase2" xfId="46"/>
    <cellStyle name="Ênfase3" xfId="47"/>
    <cellStyle name="Ênfase4" xfId="48"/>
    <cellStyle name="Ênfase5" xfId="49"/>
    <cellStyle name="Ênfase6" xfId="50"/>
    <cellStyle name="Entrada" xfId="51"/>
    <cellStyle name="Hyperlink" xfId="52"/>
    <cellStyle name="Followed Hyperlink" xfId="53"/>
    <cellStyle name="Incorreto" xfId="54"/>
    <cellStyle name="Currency" xfId="55"/>
    <cellStyle name="Currency [0]" xfId="56"/>
    <cellStyle name="Neutra" xfId="57"/>
    <cellStyle name="Normal 10" xfId="58"/>
    <cellStyle name="Normal 12" xfId="59"/>
    <cellStyle name="Normal 13" xfId="60"/>
    <cellStyle name="Normal 2" xfId="61"/>
    <cellStyle name="Normal 3" xfId="62"/>
    <cellStyle name="Normal 3 2" xfId="63"/>
    <cellStyle name="Normal 4" xfId="64"/>
    <cellStyle name="Normal 5" xfId="65"/>
    <cellStyle name="Normal 6" xfId="66"/>
    <cellStyle name="Normal 7" xfId="67"/>
    <cellStyle name="Normal 8" xfId="68"/>
    <cellStyle name="Nota" xfId="69"/>
    <cellStyle name="Nota 2" xfId="70"/>
    <cellStyle name="Percent" xfId="71"/>
    <cellStyle name="Porcentagem 2" xfId="72"/>
    <cellStyle name="Saída" xfId="73"/>
    <cellStyle name="Comma [0]" xfId="74"/>
    <cellStyle name="Separador de milhares 12" xfId="75"/>
    <cellStyle name="Texto de Aviso" xfId="76"/>
    <cellStyle name="Texto Explicativo" xfId="77"/>
    <cellStyle name="Título" xfId="78"/>
    <cellStyle name="Título 1" xfId="79"/>
    <cellStyle name="Título 2" xfId="80"/>
    <cellStyle name="Título 3" xfId="81"/>
    <cellStyle name="Título 4" xfId="82"/>
    <cellStyle name="Título 5" xfId="83"/>
    <cellStyle name="Total" xfId="84"/>
    <cellStyle name="Comma" xfId="85"/>
    <cellStyle name="Vírgula 2" xfId="86"/>
    <cellStyle name="Vírgula 3" xfId="87"/>
    <cellStyle name="Vírgula 4" xfId="88"/>
    <cellStyle name="Vírgula 5" xfId="89"/>
    <cellStyle name="Vírgula 5 2" xfId="90"/>
    <cellStyle name="Vírgula 6" xfId="91"/>
  </cellStyles>
  <dxfs count="497"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chartsheet" Target="chartsheets/sheet1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3"/>
          <c:y val="0.07725"/>
          <c:w val="0.9515"/>
          <c:h val="0.871"/>
        </c:manualLayout>
      </c:layout>
      <c:barChart>
        <c:barDir val="col"/>
        <c:grouping val="clustered"/>
        <c:varyColors val="0"/>
        <c:overlap val="-27"/>
        <c:gapWidth val="219"/>
        <c:axId val="25803435"/>
        <c:axId val="30904324"/>
      </c:barChart>
      <c:catAx>
        <c:axId val="25803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904324"/>
        <c:crosses val="autoZero"/>
        <c:auto val="1"/>
        <c:lblOffset val="100"/>
        <c:tickLblSkip val="1"/>
        <c:noMultiLvlLbl val="0"/>
      </c:catAx>
      <c:valAx>
        <c:axId val="309043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803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Chart 1"/>
        <xdr:cNvGraphicFramePr/>
      </xdr:nvGraphicFramePr>
      <xdr:xfrm>
        <a:off x="0" y="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99"/>
  <sheetViews>
    <sheetView view="pageBreakPreview" zoomScaleNormal="85" zoomScaleSheetLayoutView="100" workbookViewId="0" topLeftCell="A1">
      <pane xSplit="5" ySplit="9" topLeftCell="F17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B5" sqref="B5:Q191"/>
    </sheetView>
  </sheetViews>
  <sheetFormatPr defaultColWidth="9.140625" defaultRowHeight="12.75"/>
  <cols>
    <col min="1" max="1" width="1.8515625" style="1" customWidth="1"/>
    <col min="2" max="2" width="7.28125" style="2" customWidth="1"/>
    <col min="3" max="3" width="9.421875" style="2" customWidth="1"/>
    <col min="4" max="4" width="6.28125" style="71" customWidth="1"/>
    <col min="5" max="5" width="38.57421875" style="1" customWidth="1"/>
    <col min="6" max="6" width="4.00390625" style="2" customWidth="1"/>
    <col min="7" max="11" width="11.57421875" style="2" hidden="1" customWidth="1"/>
    <col min="12" max="12" width="7.57421875" style="1" customWidth="1"/>
    <col min="13" max="14" width="9.00390625" style="1" customWidth="1"/>
    <col min="15" max="16" width="12.421875" style="1" customWidth="1"/>
    <col min="17" max="17" width="8.57421875" style="1" customWidth="1"/>
    <col min="18" max="18" width="4.00390625" style="1" customWidth="1"/>
    <col min="19" max="19" width="5.421875" style="1" customWidth="1"/>
    <col min="20" max="20" width="5.57421875" style="1" customWidth="1"/>
    <col min="21" max="21" width="19.8515625" style="1" customWidth="1"/>
    <col min="22" max="22" width="9.421875" style="1" bestFit="1" customWidth="1"/>
    <col min="23" max="23" width="18.28125" style="1" customWidth="1"/>
    <col min="24" max="24" width="14.7109375" style="1" customWidth="1"/>
    <col min="25" max="16384" width="9.140625" style="1" customWidth="1"/>
  </cols>
  <sheetData>
    <row r="1" spans="2:5" ht="18">
      <c r="B1" s="28" t="s">
        <v>28</v>
      </c>
      <c r="C1" s="105"/>
      <c r="D1" s="92"/>
      <c r="E1" s="29"/>
    </row>
    <row r="2" spans="2:5" ht="18">
      <c r="B2" s="30" t="s">
        <v>29</v>
      </c>
      <c r="C2" s="105"/>
      <c r="D2" s="92"/>
      <c r="E2" s="29"/>
    </row>
    <row r="3" spans="2:5" ht="18">
      <c r="B3" s="30" t="s">
        <v>30</v>
      </c>
      <c r="C3" s="105"/>
      <c r="D3" s="92"/>
      <c r="E3" s="29"/>
    </row>
    <row r="4" spans="2:5" ht="18">
      <c r="B4" s="31" t="s">
        <v>31</v>
      </c>
      <c r="C4" s="106"/>
      <c r="D4" s="92"/>
      <c r="E4" s="29"/>
    </row>
    <row r="5" spans="2:17" ht="15.75" thickBot="1">
      <c r="B5" s="129"/>
      <c r="C5" s="129"/>
      <c r="D5" s="130"/>
      <c r="E5" s="131"/>
      <c r="F5" s="129"/>
      <c r="G5" s="129"/>
      <c r="H5" s="129"/>
      <c r="I5" s="129"/>
      <c r="J5" s="129"/>
      <c r="K5" s="129"/>
      <c r="L5" s="131"/>
      <c r="M5" s="131"/>
      <c r="N5" s="131"/>
      <c r="O5" s="131"/>
      <c r="P5" s="131"/>
      <c r="Q5" s="131"/>
    </row>
    <row r="6" spans="2:17" s="111" customFormat="1" ht="13.5" thickBot="1">
      <c r="B6" s="373" t="s">
        <v>32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7"/>
    </row>
    <row r="7" spans="2:17" s="111" customFormat="1" ht="13.5" thickBot="1">
      <c r="B7" s="373" t="s">
        <v>735</v>
      </c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5"/>
    </row>
    <row r="8" spans="2:18" s="111" customFormat="1" ht="12.75">
      <c r="B8" s="132"/>
      <c r="C8" s="133"/>
      <c r="D8" s="378"/>
      <c r="E8" s="378"/>
      <c r="F8" s="378"/>
      <c r="G8" s="378"/>
      <c r="H8" s="378"/>
      <c r="I8" s="378"/>
      <c r="J8" s="378"/>
      <c r="K8" s="378"/>
      <c r="L8" s="378"/>
      <c r="M8" s="379" t="s">
        <v>11</v>
      </c>
      <c r="N8" s="379"/>
      <c r="O8" s="379" t="s">
        <v>12</v>
      </c>
      <c r="P8" s="379"/>
      <c r="Q8" s="381" t="s">
        <v>8</v>
      </c>
      <c r="R8" s="112"/>
    </row>
    <row r="9" spans="2:21" s="111" customFormat="1" ht="23.25" thickBot="1">
      <c r="B9" s="134"/>
      <c r="C9" s="135"/>
      <c r="D9" s="136"/>
      <c r="E9" s="137" t="s">
        <v>9</v>
      </c>
      <c r="F9" s="137" t="s">
        <v>1</v>
      </c>
      <c r="G9" s="138" t="s">
        <v>734</v>
      </c>
      <c r="H9" s="138" t="s">
        <v>733</v>
      </c>
      <c r="I9" s="138" t="s">
        <v>732</v>
      </c>
      <c r="J9" s="138" t="s">
        <v>731</v>
      </c>
      <c r="K9" s="138" t="s">
        <v>730</v>
      </c>
      <c r="L9" s="139" t="s">
        <v>10</v>
      </c>
      <c r="M9" s="140" t="s">
        <v>7</v>
      </c>
      <c r="N9" s="141" t="s">
        <v>13</v>
      </c>
      <c r="O9" s="140" t="s">
        <v>7</v>
      </c>
      <c r="P9" s="141" t="s">
        <v>13</v>
      </c>
      <c r="Q9" s="382"/>
      <c r="R9" s="112"/>
      <c r="U9" s="113" t="s">
        <v>729</v>
      </c>
    </row>
    <row r="10" spans="2:21" s="111" customFormat="1" ht="12.75">
      <c r="B10" s="142" t="s">
        <v>14</v>
      </c>
      <c r="C10" s="143" t="s">
        <v>728</v>
      </c>
      <c r="D10" s="144" t="s">
        <v>18</v>
      </c>
      <c r="E10" s="145" t="s">
        <v>727</v>
      </c>
      <c r="F10" s="145"/>
      <c r="G10" s="146"/>
      <c r="H10" s="146"/>
      <c r="I10" s="146"/>
      <c r="J10" s="146"/>
      <c r="K10" s="146"/>
      <c r="L10" s="145"/>
      <c r="M10" s="145"/>
      <c r="N10" s="145"/>
      <c r="O10" s="145"/>
      <c r="P10" s="145"/>
      <c r="Q10" s="147"/>
      <c r="R10" s="112"/>
      <c r="U10" s="114"/>
    </row>
    <row r="11" spans="2:24" s="111" customFormat="1" ht="12.75">
      <c r="B11" s="148" t="s">
        <v>34</v>
      </c>
      <c r="C11" s="149">
        <v>93358</v>
      </c>
      <c r="D11" s="150" t="s">
        <v>17</v>
      </c>
      <c r="E11" s="151" t="s">
        <v>726</v>
      </c>
      <c r="F11" s="152" t="s">
        <v>148</v>
      </c>
      <c r="G11" s="153">
        <f>74.8*0.4*0.75</f>
        <v>22.44</v>
      </c>
      <c r="H11" s="153">
        <f>69.8*0.4*0.75</f>
        <v>20.94</v>
      </c>
      <c r="I11" s="153"/>
      <c r="J11" s="153"/>
      <c r="K11" s="153"/>
      <c r="L11" s="154">
        <f>SUM(G11:K11)</f>
        <v>43.38</v>
      </c>
      <c r="M11" s="155">
        <f>U11*(1+$L$199/100)*0.25</f>
        <v>18.875375000000002</v>
      </c>
      <c r="N11" s="155">
        <f>U11*(1+$L$199/100)*0.75</f>
        <v>56.626125</v>
      </c>
      <c r="O11" s="155">
        <f>TRUNC(L11*M11,2)</f>
        <v>818.81</v>
      </c>
      <c r="P11" s="155">
        <f>TRUNC(L11*N11,2)</f>
        <v>2456.44</v>
      </c>
      <c r="Q11" s="156">
        <f>SUM(O11:P11)</f>
        <v>3275.25</v>
      </c>
      <c r="R11" s="115"/>
      <c r="U11" s="114">
        <v>59.45</v>
      </c>
      <c r="V11" s="111" t="str">
        <f>IF(R11="x","sim","não")</f>
        <v>não</v>
      </c>
      <c r="X11" s="111">
        <f aca="true" t="shared" si="0" ref="X11:X74">(L11*M11)+(L11*N11)-(Q11)</f>
        <v>0.005070000000614527</v>
      </c>
    </row>
    <row r="12" spans="2:23" s="111" customFormat="1" ht="12.75">
      <c r="B12" s="157"/>
      <c r="C12" s="158"/>
      <c r="D12" s="159"/>
      <c r="E12" s="160" t="s">
        <v>2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2">
        <f>SUM(O11:O11)</f>
        <v>818.81</v>
      </c>
      <c r="P12" s="162">
        <f>SUM(P11:P11)</f>
        <v>2456.44</v>
      </c>
      <c r="Q12" s="163">
        <f>SUM(Q11:Q11)</f>
        <v>3275.25</v>
      </c>
      <c r="R12" s="115"/>
      <c r="U12" s="114"/>
      <c r="W12" s="116">
        <f>Q12</f>
        <v>3275.25</v>
      </c>
    </row>
    <row r="13" spans="2:24" s="111" customFormat="1" ht="12.75">
      <c r="B13" s="164" t="s">
        <v>15</v>
      </c>
      <c r="C13" s="149"/>
      <c r="D13" s="150"/>
      <c r="E13" s="165" t="s">
        <v>725</v>
      </c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7"/>
      <c r="R13" s="115"/>
      <c r="U13" s="114"/>
      <c r="X13" s="111">
        <f t="shared" si="0"/>
        <v>0</v>
      </c>
    </row>
    <row r="14" spans="2:24" s="111" customFormat="1" ht="22.5">
      <c r="B14" s="148" t="s">
        <v>3</v>
      </c>
      <c r="C14" s="149" t="s">
        <v>521</v>
      </c>
      <c r="D14" s="150" t="s">
        <v>17</v>
      </c>
      <c r="E14" s="151" t="s">
        <v>724</v>
      </c>
      <c r="F14" s="152" t="s">
        <v>228</v>
      </c>
      <c r="G14" s="153">
        <v>2.88</v>
      </c>
      <c r="H14" s="153"/>
      <c r="I14" s="153"/>
      <c r="J14" s="153"/>
      <c r="K14" s="153"/>
      <c r="L14" s="154">
        <f>SUM(G14:K14)</f>
        <v>2.88</v>
      </c>
      <c r="M14" s="155">
        <f>U14*(1+$L$199/100)*0.25</f>
        <v>72.6186</v>
      </c>
      <c r="N14" s="155">
        <f>U14*(1+$L$199/100)*0.75</f>
        <v>217.8558</v>
      </c>
      <c r="O14" s="155">
        <f>TRUNC(L14*M14,2)</f>
        <v>209.14</v>
      </c>
      <c r="P14" s="155">
        <f>TRUNC(L14*N14,2)</f>
        <v>627.42</v>
      </c>
      <c r="Q14" s="156">
        <f>SUM(O14:P14)</f>
        <v>836.56</v>
      </c>
      <c r="R14" s="115"/>
      <c r="U14" s="114">
        <v>228.72</v>
      </c>
      <c r="X14" s="111">
        <f t="shared" si="0"/>
        <v>0.006271999999967193</v>
      </c>
    </row>
    <row r="15" spans="2:24" s="118" customFormat="1" ht="12.75">
      <c r="B15" s="148" t="s">
        <v>4</v>
      </c>
      <c r="C15" s="149" t="s">
        <v>519</v>
      </c>
      <c r="D15" s="168" t="s">
        <v>17</v>
      </c>
      <c r="E15" s="169" t="s">
        <v>723</v>
      </c>
      <c r="F15" s="152" t="s">
        <v>228</v>
      </c>
      <c r="G15" s="153">
        <v>246.4</v>
      </c>
      <c r="H15" s="153">
        <v>698</v>
      </c>
      <c r="I15" s="153"/>
      <c r="J15" s="153"/>
      <c r="K15" s="153"/>
      <c r="L15" s="154">
        <f>SUM(G15:K15)</f>
        <v>944.4</v>
      </c>
      <c r="M15" s="155">
        <f>U15*(1+$L$199/100)*0.25</f>
        <v>2.898775</v>
      </c>
      <c r="N15" s="155">
        <f>U15*(1+$L$199/100)*0.75</f>
        <v>8.696325</v>
      </c>
      <c r="O15" s="155">
        <f>TRUNC(L15*M15,2)</f>
        <v>2737.6</v>
      </c>
      <c r="P15" s="155">
        <f>TRUNC(L15*N15,2)</f>
        <v>8212.8</v>
      </c>
      <c r="Q15" s="156">
        <f>SUM(O15:P15)</f>
        <v>10950.4</v>
      </c>
      <c r="R15" s="115"/>
      <c r="S15" s="115"/>
      <c r="T15" s="115"/>
      <c r="U15" s="117">
        <v>9.13</v>
      </c>
      <c r="X15" s="111">
        <f t="shared" si="0"/>
        <v>0.012440000000424334</v>
      </c>
    </row>
    <row r="16" spans="2:24" s="118" customFormat="1" ht="33.75">
      <c r="B16" s="170" t="s">
        <v>27</v>
      </c>
      <c r="C16" s="149">
        <v>93584</v>
      </c>
      <c r="D16" s="168" t="s">
        <v>17</v>
      </c>
      <c r="E16" s="171" t="s">
        <v>722</v>
      </c>
      <c r="F16" s="152" t="s">
        <v>228</v>
      </c>
      <c r="G16" s="153">
        <v>40</v>
      </c>
      <c r="H16" s="153"/>
      <c r="I16" s="153"/>
      <c r="J16" s="153"/>
      <c r="K16" s="153"/>
      <c r="L16" s="154">
        <f>SUM(G16:K16)</f>
        <v>40</v>
      </c>
      <c r="M16" s="155">
        <f>U16*(1+$L$199/100)*0.25</f>
        <v>133.505575</v>
      </c>
      <c r="N16" s="155">
        <f>U16*(1+$L$199/100)*0.75</f>
        <v>400.51672499999995</v>
      </c>
      <c r="O16" s="155">
        <f>TRUNC(L16*M16,2)</f>
        <v>5340.22</v>
      </c>
      <c r="P16" s="155">
        <f>TRUNC(L16*N16,2)</f>
        <v>16020.66</v>
      </c>
      <c r="Q16" s="156">
        <f>SUM(O16:P16)</f>
        <v>21360.88</v>
      </c>
      <c r="R16" s="115"/>
      <c r="S16" s="115"/>
      <c r="T16" s="115"/>
      <c r="U16" s="117">
        <v>420.49</v>
      </c>
      <c r="X16" s="111">
        <f t="shared" si="0"/>
        <v>0.011999999998806743</v>
      </c>
    </row>
    <row r="17" spans="2:23" s="111" customFormat="1" ht="12.75">
      <c r="B17" s="157"/>
      <c r="C17" s="158"/>
      <c r="D17" s="159"/>
      <c r="E17" s="160" t="s">
        <v>5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2">
        <f>SUM(O14:O16)</f>
        <v>8286.96</v>
      </c>
      <c r="P17" s="162">
        <f>SUM(P14:P16)</f>
        <v>24860.879999999997</v>
      </c>
      <c r="Q17" s="163">
        <f>TRUNC(SUM(Q14:Q16),2)</f>
        <v>33147.84</v>
      </c>
      <c r="R17" s="115"/>
      <c r="S17" s="112"/>
      <c r="T17" s="112"/>
      <c r="U17" s="114"/>
      <c r="W17" s="116">
        <f>Q17</f>
        <v>33147.84</v>
      </c>
    </row>
    <row r="18" spans="2:24" s="118" customFormat="1" ht="12.75">
      <c r="B18" s="164" t="s">
        <v>90</v>
      </c>
      <c r="C18" s="149"/>
      <c r="D18" s="168"/>
      <c r="E18" s="165" t="s">
        <v>721</v>
      </c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7"/>
      <c r="R18" s="115"/>
      <c r="S18" s="115"/>
      <c r="T18" s="115"/>
      <c r="U18" s="117"/>
      <c r="X18" s="111">
        <f t="shared" si="0"/>
        <v>0</v>
      </c>
    </row>
    <row r="19" spans="2:24" s="118" customFormat="1" ht="22.5">
      <c r="B19" s="148" t="s">
        <v>92</v>
      </c>
      <c r="C19" s="149" t="s">
        <v>325</v>
      </c>
      <c r="D19" s="168" t="s">
        <v>17</v>
      </c>
      <c r="E19" s="171" t="s">
        <v>326</v>
      </c>
      <c r="F19" s="168" t="s">
        <v>109</v>
      </c>
      <c r="G19" s="153"/>
      <c r="H19" s="153"/>
      <c r="I19" s="153"/>
      <c r="J19" s="153"/>
      <c r="K19" s="153"/>
      <c r="L19" s="154">
        <v>33.074125</v>
      </c>
      <c r="M19" s="155">
        <f aca="true" t="shared" si="1" ref="M19:M25">U19*(1+$L$199/100)*0.25</f>
        <v>12.160567499999999</v>
      </c>
      <c r="N19" s="155">
        <f aca="true" t="shared" si="2" ref="N19:N25">U19*(1+$L$199/100)*0.75</f>
        <v>36.4817025</v>
      </c>
      <c r="O19" s="155">
        <f aca="true" t="shared" si="3" ref="O19:O24">TRUNC(L19*M19,2)</f>
        <v>402.2</v>
      </c>
      <c r="P19" s="155">
        <f aca="true" t="shared" si="4" ref="P19:P24">TRUNC(L19*N19,2)</f>
        <v>1206.6</v>
      </c>
      <c r="Q19" s="156">
        <f aca="true" t="shared" si="5" ref="Q19:Q24">SUM(O19:P19)</f>
        <v>1608.8</v>
      </c>
      <c r="R19" s="115"/>
      <c r="S19" s="115"/>
      <c r="T19" s="115"/>
      <c r="U19" s="117">
        <v>38.300999999999995</v>
      </c>
      <c r="X19" s="111">
        <f t="shared" si="0"/>
        <v>0.0005182637498819531</v>
      </c>
    </row>
    <row r="20" spans="2:24" s="118" customFormat="1" ht="12.75">
      <c r="B20" s="148" t="s">
        <v>93</v>
      </c>
      <c r="C20" s="149" t="s">
        <v>330</v>
      </c>
      <c r="D20" s="168" t="s">
        <v>17</v>
      </c>
      <c r="E20" s="172" t="s">
        <v>329</v>
      </c>
      <c r="F20" s="168" t="s">
        <v>19</v>
      </c>
      <c r="G20" s="153"/>
      <c r="H20" s="153"/>
      <c r="I20" s="153"/>
      <c r="J20" s="153"/>
      <c r="K20" s="153"/>
      <c r="L20" s="154">
        <v>64.5775</v>
      </c>
      <c r="M20" s="155">
        <f t="shared" si="1"/>
        <v>0.95377</v>
      </c>
      <c r="N20" s="155">
        <f t="shared" si="2"/>
        <v>2.86131</v>
      </c>
      <c r="O20" s="155">
        <f t="shared" si="3"/>
        <v>61.59</v>
      </c>
      <c r="P20" s="155">
        <f t="shared" si="4"/>
        <v>184.77</v>
      </c>
      <c r="Q20" s="156">
        <f t="shared" si="5"/>
        <v>246.36</v>
      </c>
      <c r="R20" s="115"/>
      <c r="S20" s="115"/>
      <c r="T20" s="115"/>
      <c r="U20" s="117">
        <v>3.004</v>
      </c>
      <c r="X20" s="111">
        <f t="shared" si="0"/>
        <v>0.00832869999999275</v>
      </c>
    </row>
    <row r="21" spans="2:24" s="118" customFormat="1" ht="12.75">
      <c r="B21" s="148" t="s">
        <v>94</v>
      </c>
      <c r="C21" s="149" t="s">
        <v>110</v>
      </c>
      <c r="D21" s="168" t="s">
        <v>17</v>
      </c>
      <c r="E21" s="172" t="s">
        <v>124</v>
      </c>
      <c r="F21" s="168" t="s">
        <v>33</v>
      </c>
      <c r="G21" s="153"/>
      <c r="H21" s="153"/>
      <c r="I21" s="153"/>
      <c r="J21" s="153"/>
      <c r="K21" s="153"/>
      <c r="L21" s="154">
        <v>17</v>
      </c>
      <c r="M21" s="155">
        <f t="shared" si="1"/>
        <v>63.5366268</v>
      </c>
      <c r="N21" s="155">
        <f t="shared" si="2"/>
        <v>190.6098804</v>
      </c>
      <c r="O21" s="155">
        <f t="shared" si="3"/>
        <v>1080.12</v>
      </c>
      <c r="P21" s="155">
        <f t="shared" si="4"/>
        <v>3240.36</v>
      </c>
      <c r="Q21" s="156">
        <f t="shared" si="5"/>
        <v>4320.48</v>
      </c>
      <c r="R21" s="115"/>
      <c r="S21" s="115"/>
      <c r="T21" s="115"/>
      <c r="U21" s="117">
        <v>200.11536</v>
      </c>
      <c r="X21" s="111">
        <f t="shared" si="0"/>
        <v>0.010622400000102061</v>
      </c>
    </row>
    <row r="22" spans="2:24" s="118" customFormat="1" ht="12.75">
      <c r="B22" s="148" t="s">
        <v>95</v>
      </c>
      <c r="C22" s="149" t="s">
        <v>122</v>
      </c>
      <c r="D22" s="168" t="s">
        <v>17</v>
      </c>
      <c r="E22" s="172" t="s">
        <v>125</v>
      </c>
      <c r="F22" s="168" t="s">
        <v>126</v>
      </c>
      <c r="G22" s="153"/>
      <c r="H22" s="153"/>
      <c r="I22" s="153"/>
      <c r="J22" s="153"/>
      <c r="K22" s="153"/>
      <c r="L22" s="154">
        <v>151.45000000000002</v>
      </c>
      <c r="M22" s="155">
        <f t="shared" si="1"/>
        <v>39.3258278125</v>
      </c>
      <c r="N22" s="155">
        <f t="shared" si="2"/>
        <v>117.97748343750001</v>
      </c>
      <c r="O22" s="155">
        <f t="shared" si="3"/>
        <v>5955.89</v>
      </c>
      <c r="P22" s="155">
        <f t="shared" si="4"/>
        <v>17867.68</v>
      </c>
      <c r="Q22" s="156">
        <f t="shared" si="5"/>
        <v>23823.57</v>
      </c>
      <c r="R22" s="115"/>
      <c r="S22" s="115"/>
      <c r="T22" s="115"/>
      <c r="U22" s="117">
        <v>123.86087500000001</v>
      </c>
      <c r="X22" s="111">
        <f t="shared" si="0"/>
        <v>0.01648881250730483</v>
      </c>
    </row>
    <row r="23" spans="2:24" s="118" customFormat="1" ht="12.75">
      <c r="B23" s="148" t="s">
        <v>96</v>
      </c>
      <c r="C23" s="149" t="s">
        <v>123</v>
      </c>
      <c r="D23" s="168" t="s">
        <v>17</v>
      </c>
      <c r="E23" s="172" t="s">
        <v>127</v>
      </c>
      <c r="F23" s="168" t="s">
        <v>126</v>
      </c>
      <c r="G23" s="153"/>
      <c r="H23" s="153"/>
      <c r="I23" s="153"/>
      <c r="J23" s="153"/>
      <c r="K23" s="153"/>
      <c r="L23" s="154">
        <v>154.89999999999998</v>
      </c>
      <c r="M23" s="155">
        <f t="shared" si="1"/>
        <v>42.2017317</v>
      </c>
      <c r="N23" s="155">
        <f t="shared" si="2"/>
        <v>126.6051951</v>
      </c>
      <c r="O23" s="155">
        <f t="shared" si="3"/>
        <v>6537.04</v>
      </c>
      <c r="P23" s="155">
        <f t="shared" si="4"/>
        <v>19611.14</v>
      </c>
      <c r="Q23" s="156">
        <f t="shared" si="5"/>
        <v>26148.18</v>
      </c>
      <c r="R23" s="115"/>
      <c r="S23" s="115"/>
      <c r="T23" s="115"/>
      <c r="U23" s="117">
        <v>132.91884000000002</v>
      </c>
      <c r="X23" s="111">
        <f t="shared" si="0"/>
        <v>0.012961319996975362</v>
      </c>
    </row>
    <row r="24" spans="2:24" s="118" customFormat="1" ht="56.25">
      <c r="B24" s="148" t="s">
        <v>800</v>
      </c>
      <c r="C24" s="149" t="s">
        <v>178</v>
      </c>
      <c r="D24" s="168" t="s">
        <v>17</v>
      </c>
      <c r="E24" s="172" t="s">
        <v>251</v>
      </c>
      <c r="F24" s="168" t="s">
        <v>33</v>
      </c>
      <c r="G24" s="153"/>
      <c r="H24" s="153"/>
      <c r="I24" s="153"/>
      <c r="J24" s="153"/>
      <c r="K24" s="153"/>
      <c r="L24" s="154">
        <v>41</v>
      </c>
      <c r="M24" s="155">
        <f t="shared" si="1"/>
        <v>55.617682897</v>
      </c>
      <c r="N24" s="155">
        <f t="shared" si="2"/>
        <v>166.853048691</v>
      </c>
      <c r="O24" s="155">
        <f t="shared" si="3"/>
        <v>2280.32</v>
      </c>
      <c r="P24" s="155">
        <f t="shared" si="4"/>
        <v>6840.97</v>
      </c>
      <c r="Q24" s="156">
        <f t="shared" si="5"/>
        <v>9121.29</v>
      </c>
      <c r="R24" s="115"/>
      <c r="S24" s="115"/>
      <c r="T24" s="115"/>
      <c r="U24" s="117">
        <v>175.1738044</v>
      </c>
      <c r="X24" s="111">
        <f t="shared" si="0"/>
        <v>0.009995107999202446</v>
      </c>
    </row>
    <row r="25" spans="2:24" s="111" customFormat="1" ht="12.75">
      <c r="B25" s="148" t="s">
        <v>801</v>
      </c>
      <c r="C25" s="149">
        <v>83742</v>
      </c>
      <c r="D25" s="150" t="s">
        <v>17</v>
      </c>
      <c r="E25" s="171" t="s">
        <v>720</v>
      </c>
      <c r="F25" s="152" t="s">
        <v>228</v>
      </c>
      <c r="G25" s="153">
        <f>75*0.6</f>
        <v>45</v>
      </c>
      <c r="H25" s="153">
        <f>69.8*0.6</f>
        <v>41.879999999999995</v>
      </c>
      <c r="I25" s="153"/>
      <c r="J25" s="153"/>
      <c r="K25" s="153"/>
      <c r="L25" s="154">
        <f>SUM(G25:K25)</f>
        <v>86.88</v>
      </c>
      <c r="M25" s="155">
        <f t="shared" si="1"/>
        <v>6.7056000000000004</v>
      </c>
      <c r="N25" s="155">
        <f t="shared" si="2"/>
        <v>20.1168</v>
      </c>
      <c r="O25" s="155">
        <f>TRUNC(L25*M25,2)</f>
        <v>582.58</v>
      </c>
      <c r="P25" s="155">
        <f>TRUNC(L25*N25,2)</f>
        <v>1747.74</v>
      </c>
      <c r="Q25" s="156">
        <f>SUM(O25:P25)</f>
        <v>2330.32</v>
      </c>
      <c r="R25" s="115"/>
      <c r="S25" s="112"/>
      <c r="T25" s="112"/>
      <c r="U25" s="114">
        <v>21.12</v>
      </c>
      <c r="X25" s="111">
        <f t="shared" si="0"/>
        <v>0.010111999999935506</v>
      </c>
    </row>
    <row r="26" spans="2:23" s="111" customFormat="1" ht="12.75">
      <c r="B26" s="157"/>
      <c r="C26" s="158"/>
      <c r="D26" s="159"/>
      <c r="E26" s="160" t="s">
        <v>91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2">
        <f>SUM(O19:O25)</f>
        <v>16899.74</v>
      </c>
      <c r="P26" s="162">
        <f>SUM(P19:P25)</f>
        <v>50699.26</v>
      </c>
      <c r="Q26" s="163">
        <f>TRUNC(SUM(Q19:Q25),2)</f>
        <v>67599</v>
      </c>
      <c r="R26" s="115"/>
      <c r="S26" s="112"/>
      <c r="T26" s="112"/>
      <c r="U26" s="114"/>
      <c r="W26" s="116">
        <f>Q26</f>
        <v>67599</v>
      </c>
    </row>
    <row r="27" spans="2:24" s="111" customFormat="1" ht="12.75">
      <c r="B27" s="164" t="s">
        <v>97</v>
      </c>
      <c r="C27" s="149"/>
      <c r="D27" s="150"/>
      <c r="E27" s="165" t="s">
        <v>719</v>
      </c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7"/>
      <c r="R27" s="115"/>
      <c r="S27" s="112"/>
      <c r="T27" s="112"/>
      <c r="U27" s="114"/>
      <c r="X27" s="111">
        <f t="shared" si="0"/>
        <v>0</v>
      </c>
    </row>
    <row r="28" spans="2:24" s="111" customFormat="1" ht="12.75">
      <c r="B28" s="148" t="s">
        <v>98</v>
      </c>
      <c r="C28" s="149" t="s">
        <v>134</v>
      </c>
      <c r="D28" s="168" t="s">
        <v>17</v>
      </c>
      <c r="E28" s="173" t="s">
        <v>133</v>
      </c>
      <c r="F28" s="168" t="s">
        <v>126</v>
      </c>
      <c r="G28" s="174"/>
      <c r="H28" s="174"/>
      <c r="I28" s="174"/>
      <c r="J28" s="174"/>
      <c r="K28" s="174"/>
      <c r="L28" s="154">
        <v>151.45000000000002</v>
      </c>
      <c r="M28" s="155">
        <f>U28*(1+$L$199/100)*0.25</f>
        <v>3.6264088</v>
      </c>
      <c r="N28" s="155">
        <f>U28*(1+$L$199/100)*0.75</f>
        <v>10.8792264</v>
      </c>
      <c r="O28" s="155">
        <f>TRUNC(L28*M28,2)</f>
        <v>549.21</v>
      </c>
      <c r="P28" s="155">
        <f>TRUNC(L28*N28,2)</f>
        <v>1647.65</v>
      </c>
      <c r="Q28" s="156">
        <f>SUM(O28:P28)</f>
        <v>2196.86</v>
      </c>
      <c r="R28" s="115"/>
      <c r="S28" s="112"/>
      <c r="T28" s="112"/>
      <c r="U28" s="114">
        <v>11.42176</v>
      </c>
      <c r="X28" s="111">
        <f t="shared" si="0"/>
        <v>0.0184510400004001</v>
      </c>
    </row>
    <row r="29" spans="2:24" s="111" customFormat="1" ht="12.75">
      <c r="B29" s="148" t="s">
        <v>99</v>
      </c>
      <c r="C29" s="149" t="s">
        <v>136</v>
      </c>
      <c r="D29" s="168" t="s">
        <v>17</v>
      </c>
      <c r="E29" s="173" t="s">
        <v>137</v>
      </c>
      <c r="F29" s="168" t="s">
        <v>126</v>
      </c>
      <c r="G29" s="174"/>
      <c r="H29" s="174"/>
      <c r="I29" s="174"/>
      <c r="J29" s="174"/>
      <c r="K29" s="174"/>
      <c r="L29" s="154">
        <v>36.4</v>
      </c>
      <c r="M29" s="155">
        <f>U29*(1+$L$199/100)*0.25</f>
        <v>5.08787908</v>
      </c>
      <c r="N29" s="155">
        <f>U29*(1+$L$199/100)*0.75</f>
        <v>15.263637240000001</v>
      </c>
      <c r="O29" s="155">
        <f>TRUNC(L29*M29,2)</f>
        <v>185.19</v>
      </c>
      <c r="P29" s="155">
        <f>TRUNC(L29*N29,2)</f>
        <v>555.59</v>
      </c>
      <c r="Q29" s="156">
        <f>SUM(O29:P29)</f>
        <v>740.78</v>
      </c>
      <c r="R29" s="115"/>
      <c r="S29" s="112"/>
      <c r="T29" s="112"/>
      <c r="U29" s="114">
        <v>16.024816</v>
      </c>
      <c r="X29" s="111">
        <f t="shared" si="0"/>
        <v>0.015194048000012117</v>
      </c>
    </row>
    <row r="30" spans="2:24" s="111" customFormat="1" ht="12.75">
      <c r="B30" s="148" t="s">
        <v>100</v>
      </c>
      <c r="C30" s="149" t="s">
        <v>142</v>
      </c>
      <c r="D30" s="168" t="s">
        <v>17</v>
      </c>
      <c r="E30" s="173" t="s">
        <v>141</v>
      </c>
      <c r="F30" s="168" t="s">
        <v>126</v>
      </c>
      <c r="G30" s="174"/>
      <c r="H30" s="174"/>
      <c r="I30" s="174"/>
      <c r="J30" s="174"/>
      <c r="K30" s="174"/>
      <c r="L30" s="154">
        <v>77.3</v>
      </c>
      <c r="M30" s="155">
        <f>U30*(1+$L$199/100)*0.25</f>
        <v>22.261253420000003</v>
      </c>
      <c r="N30" s="155">
        <f>U30*(1+$L$199/100)*0.75</f>
        <v>66.78376026000001</v>
      </c>
      <c r="O30" s="155">
        <f>TRUNC(L30*M30,2)</f>
        <v>1720.79</v>
      </c>
      <c r="P30" s="155">
        <f>TRUNC(L30*N30,2)</f>
        <v>5162.38</v>
      </c>
      <c r="Q30" s="156">
        <f>SUM(O30:P30)</f>
        <v>6883.17</v>
      </c>
      <c r="R30" s="115"/>
      <c r="S30" s="112"/>
      <c r="T30" s="112"/>
      <c r="U30" s="114">
        <v>70.11418400000001</v>
      </c>
      <c r="X30" s="111">
        <f t="shared" si="0"/>
        <v>0.009557464000863547</v>
      </c>
    </row>
    <row r="31" spans="2:24" s="111" customFormat="1" ht="22.5">
      <c r="B31" s="148" t="s">
        <v>101</v>
      </c>
      <c r="C31" s="149" t="s">
        <v>143</v>
      </c>
      <c r="D31" s="168" t="s">
        <v>17</v>
      </c>
      <c r="E31" s="173" t="s">
        <v>247</v>
      </c>
      <c r="F31" s="168" t="s">
        <v>126</v>
      </c>
      <c r="G31" s="174"/>
      <c r="H31" s="174"/>
      <c r="I31" s="174"/>
      <c r="J31" s="174"/>
      <c r="K31" s="174"/>
      <c r="L31" s="154">
        <v>237.60000000000002</v>
      </c>
      <c r="M31" s="155">
        <f>U31*(1+$L$199/100)*0.25</f>
        <v>4.7988474000000005</v>
      </c>
      <c r="N31" s="155">
        <f>U31*(1+$L$199/100)*0.75</f>
        <v>14.396542200000003</v>
      </c>
      <c r="O31" s="155">
        <f>TRUNC(L31*M31,2)</f>
        <v>1140.2</v>
      </c>
      <c r="P31" s="155">
        <f>TRUNC(L31*N31,2)</f>
        <v>3420.61</v>
      </c>
      <c r="Q31" s="156">
        <f>SUM(O31:P31)</f>
        <v>4560.81</v>
      </c>
      <c r="R31" s="115"/>
      <c r="S31" s="112"/>
      <c r="T31" s="112"/>
      <c r="U31" s="114">
        <v>15.11448</v>
      </c>
      <c r="X31" s="111">
        <f t="shared" si="0"/>
        <v>0.014568960000360676</v>
      </c>
    </row>
    <row r="32" spans="2:24" s="111" customFormat="1" ht="12.75">
      <c r="B32" s="148" t="s">
        <v>327</v>
      </c>
      <c r="C32" s="149" t="s">
        <v>217</v>
      </c>
      <c r="D32" s="168" t="s">
        <v>17</v>
      </c>
      <c r="E32" s="173" t="s">
        <v>242</v>
      </c>
      <c r="F32" s="168" t="s">
        <v>126</v>
      </c>
      <c r="G32" s="174"/>
      <c r="H32" s="174"/>
      <c r="I32" s="174"/>
      <c r="J32" s="174"/>
      <c r="K32" s="174"/>
      <c r="L32" s="154">
        <v>49.199999999999996</v>
      </c>
      <c r="M32" s="155">
        <f>U32*(1+$L$199/100)*0.25</f>
        <v>3.6082224000000003</v>
      </c>
      <c r="N32" s="155">
        <f>U32*(1+$L$199/100)*0.75</f>
        <v>10.8246672</v>
      </c>
      <c r="O32" s="155">
        <f>TRUNC(L32*M32,2)</f>
        <v>177.52</v>
      </c>
      <c r="P32" s="155">
        <f>TRUNC(L32*N32,2)</f>
        <v>532.57</v>
      </c>
      <c r="Q32" s="156">
        <f>SUM(O32:P32)</f>
        <v>710.09</v>
      </c>
      <c r="R32" s="115"/>
      <c r="S32" s="112"/>
      <c r="T32" s="112"/>
      <c r="U32" s="114">
        <v>11.36448</v>
      </c>
      <c r="X32" s="111">
        <f t="shared" si="0"/>
        <v>0.008168319999981577</v>
      </c>
    </row>
    <row r="33" spans="2:23" s="111" customFormat="1" ht="12.75">
      <c r="B33" s="157"/>
      <c r="C33" s="158"/>
      <c r="D33" s="159"/>
      <c r="E33" s="160" t="s">
        <v>102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2">
        <f>SUM(O28:O32)</f>
        <v>3772.9100000000003</v>
      </c>
      <c r="P33" s="162">
        <f>SUM(P28:P32)</f>
        <v>11318.800000000001</v>
      </c>
      <c r="Q33" s="163">
        <f>TRUNC(SUM(Q28:Q32),2)</f>
        <v>15091.71</v>
      </c>
      <c r="S33" s="112"/>
      <c r="T33" s="112"/>
      <c r="U33" s="114"/>
      <c r="W33" s="116">
        <f>Q33</f>
        <v>15091.71</v>
      </c>
    </row>
    <row r="34" spans="2:24" s="111" customFormat="1" ht="12.75">
      <c r="B34" s="164" t="s">
        <v>144</v>
      </c>
      <c r="C34" s="149"/>
      <c r="D34" s="150"/>
      <c r="E34" s="165" t="s">
        <v>218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7"/>
      <c r="S34" s="112"/>
      <c r="T34" s="112"/>
      <c r="U34" s="114"/>
      <c r="X34" s="111">
        <f t="shared" si="0"/>
        <v>0</v>
      </c>
    </row>
    <row r="35" spans="2:24" s="111" customFormat="1" ht="56.25">
      <c r="B35" s="148" t="s">
        <v>145</v>
      </c>
      <c r="C35" s="149">
        <v>87469</v>
      </c>
      <c r="D35" s="150" t="s">
        <v>17</v>
      </c>
      <c r="E35" s="171" t="s">
        <v>718</v>
      </c>
      <c r="F35" s="152" t="s">
        <v>228</v>
      </c>
      <c r="G35" s="153">
        <f>(21.4+21.4+5.2+2.8+2.95+2.2+2.2+2.8+0.8+1.6+0.8+10.8)*3.8-((1.4+1.4+(1.6*2.2)+2.2+2.2+2.2+1.4+1.4+1.4+1.4+1.4+(0.8*0.6*3)))</f>
        <v>263.45</v>
      </c>
      <c r="H35" s="153">
        <f>(68.8+9)*2.3</f>
        <v>178.93999999999997</v>
      </c>
      <c r="I35" s="153"/>
      <c r="J35" s="153"/>
      <c r="K35" s="153"/>
      <c r="L35" s="154">
        <f>SUM(G35:K35)</f>
        <v>442.39</v>
      </c>
      <c r="M35" s="155">
        <f>U35*(1+$L$199/100)*0.25</f>
        <v>22.240875</v>
      </c>
      <c r="N35" s="155">
        <f>U35*(1+$L$199/100)*0.75</f>
        <v>66.722625</v>
      </c>
      <c r="O35" s="155">
        <f>TRUNC(L35*M35,2)</f>
        <v>9839.14</v>
      </c>
      <c r="P35" s="155">
        <f>TRUNC(L35*N35,2)</f>
        <v>29517.42</v>
      </c>
      <c r="Q35" s="156">
        <f>SUM(O35:P35)</f>
        <v>39356.56</v>
      </c>
      <c r="S35" s="119"/>
      <c r="T35" s="112"/>
      <c r="U35" s="114">
        <v>70.05</v>
      </c>
      <c r="X35" s="111">
        <f t="shared" si="0"/>
        <v>0.0027649999974528328</v>
      </c>
    </row>
    <row r="36" spans="2:24" s="111" customFormat="1" ht="22.5">
      <c r="B36" s="148" t="s">
        <v>146</v>
      </c>
      <c r="C36" s="149" t="s">
        <v>225</v>
      </c>
      <c r="D36" s="150" t="s">
        <v>17</v>
      </c>
      <c r="E36" s="172" t="s">
        <v>226</v>
      </c>
      <c r="F36" s="168" t="s">
        <v>109</v>
      </c>
      <c r="G36" s="153"/>
      <c r="H36" s="153"/>
      <c r="I36" s="153"/>
      <c r="J36" s="153"/>
      <c r="K36" s="153"/>
      <c r="L36" s="154">
        <v>0.40950000000000003</v>
      </c>
      <c r="M36" s="155">
        <f>U36*(1+$L$199/100)*0.25</f>
        <v>21.428075</v>
      </c>
      <c r="N36" s="155">
        <f>U36*(1+$L$199/100)*0.75</f>
        <v>64.28422499999999</v>
      </c>
      <c r="O36" s="155">
        <f>TRUNC(L36*M36,2)</f>
        <v>8.77</v>
      </c>
      <c r="P36" s="155">
        <f>TRUNC(L36*N36,2)</f>
        <v>26.32</v>
      </c>
      <c r="Q36" s="156">
        <f>SUM(O36:P36)</f>
        <v>35.09</v>
      </c>
      <c r="S36" s="119"/>
      <c r="T36" s="112"/>
      <c r="U36" s="108">
        <v>67.49</v>
      </c>
      <c r="X36" s="111">
        <f t="shared" si="0"/>
        <v>0.00918684999999897</v>
      </c>
    </row>
    <row r="37" spans="2:23" s="111" customFormat="1" ht="12.75">
      <c r="B37" s="157"/>
      <c r="C37" s="158"/>
      <c r="D37" s="159"/>
      <c r="E37" s="160" t="s">
        <v>147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2">
        <f>SUM(O35:O36)</f>
        <v>9847.91</v>
      </c>
      <c r="P37" s="162">
        <f>SUM(P35:P36)</f>
        <v>29543.739999999998</v>
      </c>
      <c r="Q37" s="163">
        <f>TRUNC(SUM(Q35:Q36),2)</f>
        <v>39391.65</v>
      </c>
      <c r="S37" s="112"/>
      <c r="T37" s="112"/>
      <c r="U37" s="114"/>
      <c r="W37" s="116">
        <f>Q37</f>
        <v>39391.65</v>
      </c>
    </row>
    <row r="38" spans="2:24" s="111" customFormat="1" ht="12.75">
      <c r="B38" s="164" t="s">
        <v>179</v>
      </c>
      <c r="C38" s="149"/>
      <c r="D38" s="150"/>
      <c r="E38" s="165" t="s">
        <v>717</v>
      </c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7"/>
      <c r="S38" s="112"/>
      <c r="T38" s="112"/>
      <c r="U38" s="114"/>
      <c r="X38" s="111">
        <f t="shared" si="0"/>
        <v>0</v>
      </c>
    </row>
    <row r="39" spans="2:24" s="111" customFormat="1" ht="33.75">
      <c r="B39" s="148" t="s">
        <v>180</v>
      </c>
      <c r="C39" s="149" t="s">
        <v>716</v>
      </c>
      <c r="D39" s="175" t="s">
        <v>530</v>
      </c>
      <c r="E39" s="171" t="s">
        <v>715</v>
      </c>
      <c r="F39" s="152" t="s">
        <v>228</v>
      </c>
      <c r="G39" s="153">
        <f>106.95+4.48+6.16+6.16+22.72+10.32+7.7</f>
        <v>164.48999999999998</v>
      </c>
      <c r="H39" s="153"/>
      <c r="I39" s="153"/>
      <c r="J39" s="153"/>
      <c r="K39" s="153"/>
      <c r="L39" s="154">
        <f>SUM(G39:K39)</f>
        <v>164.48999999999998</v>
      </c>
      <c r="M39" s="155">
        <f>U39*(1+$L$199/100)*0.25</f>
        <v>14.893925</v>
      </c>
      <c r="N39" s="155">
        <f>U39*(1+$L$199/100)*0.75</f>
        <v>44.681775</v>
      </c>
      <c r="O39" s="155">
        <f>TRUNC(L39*M39,2)</f>
        <v>2449.9</v>
      </c>
      <c r="P39" s="155">
        <f>TRUNC(L39*N39,2)</f>
        <v>7349.7</v>
      </c>
      <c r="Q39" s="156">
        <f>SUM(O39:P39)</f>
        <v>9799.6</v>
      </c>
      <c r="S39" s="112"/>
      <c r="T39" s="112"/>
      <c r="U39" s="114">
        <v>46.91</v>
      </c>
      <c r="X39" s="111">
        <f t="shared" si="0"/>
        <v>0.006892999997944571</v>
      </c>
    </row>
    <row r="40" spans="2:24" s="111" customFormat="1" ht="22.5">
      <c r="B40" s="148" t="s">
        <v>714</v>
      </c>
      <c r="C40" s="149">
        <v>84091</v>
      </c>
      <c r="D40" s="150" t="s">
        <v>17</v>
      </c>
      <c r="E40" s="171" t="s">
        <v>713</v>
      </c>
      <c r="F40" s="152" t="s">
        <v>228</v>
      </c>
      <c r="G40" s="153">
        <f>G39+91.64</f>
        <v>256.13</v>
      </c>
      <c r="H40" s="153"/>
      <c r="I40" s="153"/>
      <c r="J40" s="153"/>
      <c r="K40" s="153"/>
      <c r="L40" s="154">
        <f>SUM(G40:K40)</f>
        <v>256.13</v>
      </c>
      <c r="M40" s="155">
        <f>U40*(1+$L$199/100)*0.25</f>
        <v>12.487275</v>
      </c>
      <c r="N40" s="155">
        <f>U40*(1+$L$199/100)*0.75</f>
        <v>37.461825000000005</v>
      </c>
      <c r="O40" s="155">
        <f>TRUNC(L40*M40,2)</f>
        <v>3198.36</v>
      </c>
      <c r="P40" s="155">
        <f>TRUNC(L40*N40,2)</f>
        <v>9595.09</v>
      </c>
      <c r="Q40" s="156">
        <f>SUM(O40:P40)</f>
        <v>12793.45</v>
      </c>
      <c r="U40" s="114">
        <v>39.33</v>
      </c>
      <c r="X40" s="111">
        <f t="shared" si="0"/>
        <v>0.01298300000053132</v>
      </c>
    </row>
    <row r="41" spans="2:23" s="111" customFormat="1" ht="12.75">
      <c r="B41" s="157"/>
      <c r="C41" s="158"/>
      <c r="D41" s="159"/>
      <c r="E41" s="160" t="s">
        <v>248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2">
        <f>SUM(O39:O40)</f>
        <v>5648.26</v>
      </c>
      <c r="P41" s="162">
        <f>SUM(P39:P40)</f>
        <v>16944.79</v>
      </c>
      <c r="Q41" s="163">
        <f>TRUNC(SUM(Q39:Q40),2)</f>
        <v>22593.05</v>
      </c>
      <c r="U41" s="114"/>
      <c r="W41" s="116">
        <f>Q41</f>
        <v>22593.05</v>
      </c>
    </row>
    <row r="42" spans="2:24" s="118" customFormat="1" ht="12.75">
      <c r="B42" s="164" t="s">
        <v>219</v>
      </c>
      <c r="C42" s="149"/>
      <c r="D42" s="168"/>
      <c r="E42" s="176" t="s">
        <v>712</v>
      </c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8"/>
      <c r="U42" s="117"/>
      <c r="X42" s="111">
        <f t="shared" si="0"/>
        <v>0</v>
      </c>
    </row>
    <row r="43" spans="2:24" s="118" customFormat="1" ht="78.75">
      <c r="B43" s="148" t="s">
        <v>220</v>
      </c>
      <c r="C43" s="149">
        <v>72110</v>
      </c>
      <c r="D43" s="168" t="s">
        <v>17</v>
      </c>
      <c r="E43" s="172" t="s">
        <v>510</v>
      </c>
      <c r="F43" s="152" t="s">
        <v>228</v>
      </c>
      <c r="G43" s="153">
        <v>275.43</v>
      </c>
      <c r="H43" s="153">
        <v>789.8</v>
      </c>
      <c r="I43" s="153"/>
      <c r="J43" s="153"/>
      <c r="K43" s="153"/>
      <c r="L43" s="154">
        <f aca="true" t="shared" si="6" ref="L43:L52">SUM(G43:K43)</f>
        <v>1065.23</v>
      </c>
      <c r="M43" s="155">
        <f>U43*(1+$L$199/100)*0.25</f>
        <v>18.37055</v>
      </c>
      <c r="N43" s="155">
        <f>U43*(1+$L$199/100)*0.75</f>
        <v>55.111650000000004</v>
      </c>
      <c r="O43" s="155">
        <f aca="true" t="shared" si="7" ref="O43:O52">TRUNC(L43*M43,2)</f>
        <v>19568.86</v>
      </c>
      <c r="P43" s="155">
        <f aca="true" t="shared" si="8" ref="P43:P52">TRUNC(L43*N43,2)</f>
        <v>58706.58</v>
      </c>
      <c r="Q43" s="156">
        <f aca="true" t="shared" si="9" ref="Q43:Q52">SUM(O43:P43)</f>
        <v>78275.44</v>
      </c>
      <c r="U43" s="117">
        <v>57.86</v>
      </c>
      <c r="X43" s="111">
        <f t="shared" si="0"/>
        <v>0.0039059999980963767</v>
      </c>
    </row>
    <row r="44" spans="2:24" s="111" customFormat="1" ht="33.75">
      <c r="B44" s="148" t="s">
        <v>221</v>
      </c>
      <c r="C44" s="149" t="s">
        <v>366</v>
      </c>
      <c r="D44" s="168" t="s">
        <v>17</v>
      </c>
      <c r="E44" s="172" t="s">
        <v>367</v>
      </c>
      <c r="F44" s="152" t="s">
        <v>228</v>
      </c>
      <c r="G44" s="153">
        <f>275.43+121.29</f>
        <v>396.72</v>
      </c>
      <c r="H44" s="153">
        <f>789.8+442.75</f>
        <v>1232.55</v>
      </c>
      <c r="I44" s="153"/>
      <c r="J44" s="153">
        <v>15.3</v>
      </c>
      <c r="K44" s="153"/>
      <c r="L44" s="154">
        <f t="shared" si="6"/>
        <v>1644.57</v>
      </c>
      <c r="M44" s="155">
        <f>U44*(1+$L$199/100)*0.25</f>
        <v>12.6365</v>
      </c>
      <c r="N44" s="155">
        <f>U44*(1+$L$199/100)*0.75</f>
        <v>37.9095</v>
      </c>
      <c r="O44" s="155">
        <f t="shared" si="7"/>
        <v>20781.6</v>
      </c>
      <c r="P44" s="155">
        <f t="shared" si="8"/>
        <v>62344.82</v>
      </c>
      <c r="Q44" s="156">
        <f t="shared" si="9"/>
        <v>83126.42</v>
      </c>
      <c r="U44" s="114">
        <v>39.8</v>
      </c>
      <c r="X44" s="111">
        <f t="shared" si="0"/>
        <v>0.015220000001136214</v>
      </c>
    </row>
    <row r="45" spans="2:24" s="111" customFormat="1" ht="33.75">
      <c r="B45" s="148" t="s">
        <v>222</v>
      </c>
      <c r="C45" s="149" t="s">
        <v>565</v>
      </c>
      <c r="D45" s="179"/>
      <c r="E45" s="180" t="s">
        <v>711</v>
      </c>
      <c r="F45" s="152" t="s">
        <v>1</v>
      </c>
      <c r="G45" s="153"/>
      <c r="H45" s="153">
        <v>3.5</v>
      </c>
      <c r="I45" s="153"/>
      <c r="J45" s="153"/>
      <c r="K45" s="153"/>
      <c r="L45" s="154">
        <f t="shared" si="6"/>
        <v>3.5</v>
      </c>
      <c r="M45" s="155">
        <f aca="true" t="shared" si="10" ref="M45:M65">U45*(1+$L$199/100)*0.25</f>
        <v>212.725</v>
      </c>
      <c r="N45" s="155">
        <f aca="true" t="shared" si="11" ref="N45:N65">U45*(1+$L$199/100)*0.75</f>
        <v>638.175</v>
      </c>
      <c r="O45" s="155">
        <f t="shared" si="7"/>
        <v>744.53</v>
      </c>
      <c r="P45" s="155">
        <f t="shared" si="8"/>
        <v>2233.61</v>
      </c>
      <c r="Q45" s="156">
        <f t="shared" si="9"/>
        <v>2978.1400000000003</v>
      </c>
      <c r="U45" s="114">
        <v>670</v>
      </c>
      <c r="X45" s="111">
        <f t="shared" si="0"/>
        <v>0.009999999999308784</v>
      </c>
    </row>
    <row r="46" spans="2:24" s="111" customFormat="1" ht="22.5">
      <c r="B46" s="148" t="s">
        <v>223</v>
      </c>
      <c r="C46" s="149">
        <v>92543</v>
      </c>
      <c r="D46" s="179" t="s">
        <v>17</v>
      </c>
      <c r="E46" s="180" t="s">
        <v>710</v>
      </c>
      <c r="F46" s="152" t="s">
        <v>228</v>
      </c>
      <c r="G46" s="153"/>
      <c r="H46" s="153"/>
      <c r="I46" s="153"/>
      <c r="J46" s="153">
        <v>15.3</v>
      </c>
      <c r="K46" s="153"/>
      <c r="L46" s="154">
        <f t="shared" si="6"/>
        <v>15.3</v>
      </c>
      <c r="M46" s="155">
        <f t="shared" si="10"/>
        <v>3.4004250000000003</v>
      </c>
      <c r="N46" s="155">
        <f t="shared" si="11"/>
        <v>10.201275</v>
      </c>
      <c r="O46" s="155">
        <f t="shared" si="7"/>
        <v>52.02</v>
      </c>
      <c r="P46" s="155">
        <f t="shared" si="8"/>
        <v>156.07</v>
      </c>
      <c r="Q46" s="156">
        <f t="shared" si="9"/>
        <v>208.09</v>
      </c>
      <c r="U46" s="114">
        <v>10.71</v>
      </c>
      <c r="X46" s="111">
        <f t="shared" si="0"/>
        <v>0.01601000000002273</v>
      </c>
    </row>
    <row r="47" spans="2:24" s="111" customFormat="1" ht="22.5">
      <c r="B47" s="148" t="s">
        <v>224</v>
      </c>
      <c r="C47" s="149">
        <v>94228</v>
      </c>
      <c r="D47" s="150" t="s">
        <v>17</v>
      </c>
      <c r="E47" s="181" t="s">
        <v>379</v>
      </c>
      <c r="F47" s="152" t="s">
        <v>126</v>
      </c>
      <c r="G47" s="153">
        <f>10.8+10.6</f>
        <v>21.4</v>
      </c>
      <c r="H47" s="153">
        <v>71.8</v>
      </c>
      <c r="I47" s="153"/>
      <c r="J47" s="153"/>
      <c r="K47" s="153"/>
      <c r="L47" s="154">
        <f t="shared" si="6"/>
        <v>93.19999999999999</v>
      </c>
      <c r="M47" s="155">
        <f t="shared" si="10"/>
        <v>15.65275</v>
      </c>
      <c r="N47" s="155">
        <f t="shared" si="11"/>
        <v>46.95825</v>
      </c>
      <c r="O47" s="155">
        <f t="shared" si="7"/>
        <v>1458.83</v>
      </c>
      <c r="P47" s="155">
        <f t="shared" si="8"/>
        <v>4376.5</v>
      </c>
      <c r="Q47" s="156">
        <f t="shared" si="9"/>
        <v>5835.33</v>
      </c>
      <c r="U47" s="114">
        <v>49.3</v>
      </c>
      <c r="X47" s="111">
        <f t="shared" si="0"/>
        <v>0.015199999999822467</v>
      </c>
    </row>
    <row r="48" spans="2:24" s="111" customFormat="1" ht="12.75">
      <c r="B48" s="148" t="s">
        <v>709</v>
      </c>
      <c r="C48" s="149" t="s">
        <v>74</v>
      </c>
      <c r="D48" s="150" t="s">
        <v>17</v>
      </c>
      <c r="E48" s="181" t="s">
        <v>85</v>
      </c>
      <c r="F48" s="152" t="s">
        <v>33</v>
      </c>
      <c r="G48" s="153">
        <v>1</v>
      </c>
      <c r="H48" s="153"/>
      <c r="I48" s="153"/>
      <c r="J48" s="153"/>
      <c r="K48" s="153"/>
      <c r="L48" s="154">
        <f t="shared" si="6"/>
        <v>1</v>
      </c>
      <c r="M48" s="155">
        <f t="shared" si="10"/>
        <v>148.5416425275</v>
      </c>
      <c r="N48" s="155">
        <f t="shared" si="11"/>
        <v>445.62492758249994</v>
      </c>
      <c r="O48" s="155">
        <f t="shared" si="7"/>
        <v>148.54</v>
      </c>
      <c r="P48" s="155">
        <f t="shared" si="8"/>
        <v>445.62</v>
      </c>
      <c r="Q48" s="156">
        <f t="shared" si="9"/>
        <v>594.16</v>
      </c>
      <c r="U48" s="114">
        <v>467.84769299999994</v>
      </c>
      <c r="X48" s="111">
        <f t="shared" si="0"/>
        <v>0.006570109999984197</v>
      </c>
    </row>
    <row r="49" spans="2:24" s="111" customFormat="1" ht="12.75">
      <c r="B49" s="148" t="s">
        <v>181</v>
      </c>
      <c r="C49" s="149" t="s">
        <v>158</v>
      </c>
      <c r="D49" s="150" t="s">
        <v>17</v>
      </c>
      <c r="E49" s="181" t="s">
        <v>157</v>
      </c>
      <c r="F49" s="152" t="s">
        <v>33</v>
      </c>
      <c r="G49" s="153">
        <v>1</v>
      </c>
      <c r="H49" s="153"/>
      <c r="I49" s="153"/>
      <c r="J49" s="153"/>
      <c r="K49" s="153"/>
      <c r="L49" s="154">
        <f t="shared" si="6"/>
        <v>1</v>
      </c>
      <c r="M49" s="155">
        <f t="shared" si="10"/>
        <v>330.267324732</v>
      </c>
      <c r="N49" s="155">
        <f t="shared" si="11"/>
        <v>990.8019741960001</v>
      </c>
      <c r="O49" s="155">
        <f t="shared" si="7"/>
        <v>330.26</v>
      </c>
      <c r="P49" s="155">
        <f t="shared" si="8"/>
        <v>990.8</v>
      </c>
      <c r="Q49" s="156">
        <f t="shared" si="9"/>
        <v>1321.06</v>
      </c>
      <c r="U49" s="114">
        <v>1040.2120464</v>
      </c>
      <c r="X49" s="111">
        <f t="shared" si="0"/>
        <v>0.009298928000134765</v>
      </c>
    </row>
    <row r="50" spans="2:24" s="111" customFormat="1" ht="22.5">
      <c r="B50" s="148" t="s">
        <v>707</v>
      </c>
      <c r="C50" s="149" t="s">
        <v>87</v>
      </c>
      <c r="D50" s="150" t="s">
        <v>17</v>
      </c>
      <c r="E50" s="172" t="s">
        <v>88</v>
      </c>
      <c r="F50" s="152" t="s">
        <v>1</v>
      </c>
      <c r="G50" s="153">
        <v>1</v>
      </c>
      <c r="H50" s="153"/>
      <c r="I50" s="153"/>
      <c r="J50" s="153"/>
      <c r="K50" s="153"/>
      <c r="L50" s="154">
        <f t="shared" si="6"/>
        <v>1</v>
      </c>
      <c r="M50" s="155">
        <f t="shared" si="10"/>
        <v>49.825582975</v>
      </c>
      <c r="N50" s="155">
        <f t="shared" si="11"/>
        <v>149.476748925</v>
      </c>
      <c r="O50" s="155">
        <f t="shared" si="7"/>
        <v>49.82</v>
      </c>
      <c r="P50" s="155">
        <f t="shared" si="8"/>
        <v>149.47</v>
      </c>
      <c r="Q50" s="156">
        <f t="shared" si="9"/>
        <v>199.29</v>
      </c>
      <c r="U50" s="108">
        <v>156.93097</v>
      </c>
      <c r="X50" s="111">
        <f t="shared" si="0"/>
        <v>0.012331900000020823</v>
      </c>
    </row>
    <row r="51" spans="2:24" s="111" customFormat="1" ht="22.5">
      <c r="B51" s="148" t="s">
        <v>781</v>
      </c>
      <c r="C51" s="149">
        <v>94231</v>
      </c>
      <c r="D51" s="150" t="s">
        <v>17</v>
      </c>
      <c r="E51" s="181" t="s">
        <v>708</v>
      </c>
      <c r="F51" s="152" t="s">
        <v>126</v>
      </c>
      <c r="G51" s="153">
        <v>13</v>
      </c>
      <c r="H51" s="153"/>
      <c r="I51" s="153"/>
      <c r="J51" s="153"/>
      <c r="K51" s="153"/>
      <c r="L51" s="154">
        <f t="shared" si="6"/>
        <v>13</v>
      </c>
      <c r="M51" s="155">
        <f t="shared" si="10"/>
        <v>7.4803</v>
      </c>
      <c r="N51" s="155">
        <f t="shared" si="11"/>
        <v>22.4409</v>
      </c>
      <c r="O51" s="155">
        <f t="shared" si="7"/>
        <v>97.24</v>
      </c>
      <c r="P51" s="155">
        <f t="shared" si="8"/>
        <v>291.73</v>
      </c>
      <c r="Q51" s="156">
        <f t="shared" si="9"/>
        <v>388.97</v>
      </c>
      <c r="U51" s="114">
        <v>23.56</v>
      </c>
      <c r="X51" s="111">
        <f t="shared" si="0"/>
        <v>0.005599999999958527</v>
      </c>
    </row>
    <row r="52" spans="2:24" s="111" customFormat="1" ht="22.5">
      <c r="B52" s="148" t="s">
        <v>782</v>
      </c>
      <c r="C52" s="149">
        <v>94231</v>
      </c>
      <c r="D52" s="150" t="s">
        <v>17</v>
      </c>
      <c r="E52" s="181" t="s">
        <v>706</v>
      </c>
      <c r="F52" s="152" t="s">
        <v>126</v>
      </c>
      <c r="G52" s="153">
        <f>21.5+3+2.45</f>
        <v>26.95</v>
      </c>
      <c r="H52" s="153">
        <v>71.8</v>
      </c>
      <c r="I52" s="153"/>
      <c r="J52" s="153"/>
      <c r="K52" s="153"/>
      <c r="L52" s="154">
        <f t="shared" si="6"/>
        <v>98.75</v>
      </c>
      <c r="M52" s="155">
        <f t="shared" si="10"/>
        <v>7.4803</v>
      </c>
      <c r="N52" s="155">
        <f t="shared" si="11"/>
        <v>22.4409</v>
      </c>
      <c r="O52" s="155">
        <f t="shared" si="7"/>
        <v>738.67</v>
      </c>
      <c r="P52" s="155">
        <f t="shared" si="8"/>
        <v>2216.03</v>
      </c>
      <c r="Q52" s="156">
        <f t="shared" si="9"/>
        <v>2954.7000000000003</v>
      </c>
      <c r="U52" s="114">
        <v>23.56</v>
      </c>
      <c r="X52" s="111">
        <f t="shared" si="0"/>
        <v>0.01849999999967622</v>
      </c>
    </row>
    <row r="53" spans="2:24" s="111" customFormat="1" ht="12.75">
      <c r="B53" s="148" t="s">
        <v>783</v>
      </c>
      <c r="C53" s="149" t="s">
        <v>52</v>
      </c>
      <c r="D53" s="150" t="s">
        <v>17</v>
      </c>
      <c r="E53" s="173" t="s">
        <v>66</v>
      </c>
      <c r="F53" s="152" t="s">
        <v>33</v>
      </c>
      <c r="G53" s="153"/>
      <c r="H53" s="153">
        <v>2</v>
      </c>
      <c r="I53" s="153"/>
      <c r="J53" s="153"/>
      <c r="K53" s="153"/>
      <c r="L53" s="154">
        <f aca="true" t="shared" si="12" ref="L53:L65">SUM(G53:K53)</f>
        <v>2</v>
      </c>
      <c r="M53" s="155">
        <f t="shared" si="10"/>
        <v>311.82626483999996</v>
      </c>
      <c r="N53" s="155">
        <f t="shared" si="11"/>
        <v>935.4787945199998</v>
      </c>
      <c r="O53" s="155">
        <f aca="true" t="shared" si="13" ref="O53:O65">TRUNC(L53*M53,2)</f>
        <v>623.65</v>
      </c>
      <c r="P53" s="155">
        <f aca="true" t="shared" si="14" ref="P53:P65">TRUNC(L53*N53,2)</f>
        <v>1870.95</v>
      </c>
      <c r="Q53" s="156">
        <f aca="true" t="shared" si="15" ref="Q53:Q65">SUM(O53:P53)</f>
        <v>2494.6</v>
      </c>
      <c r="U53" s="114">
        <v>982.129968</v>
      </c>
      <c r="X53" s="111">
        <f t="shared" si="0"/>
        <v>0.0101187199998094</v>
      </c>
    </row>
    <row r="54" spans="2:24" s="111" customFormat="1" ht="12.75">
      <c r="B54" s="148" t="s">
        <v>784</v>
      </c>
      <c r="C54" s="149" t="s">
        <v>59</v>
      </c>
      <c r="D54" s="150" t="s">
        <v>17</v>
      </c>
      <c r="E54" s="173" t="s">
        <v>67</v>
      </c>
      <c r="F54" s="152" t="s">
        <v>33</v>
      </c>
      <c r="G54" s="153"/>
      <c r="H54" s="153">
        <v>2</v>
      </c>
      <c r="I54" s="153"/>
      <c r="J54" s="153"/>
      <c r="K54" s="153"/>
      <c r="L54" s="154">
        <f t="shared" si="12"/>
        <v>2</v>
      </c>
      <c r="M54" s="155">
        <f t="shared" si="10"/>
        <v>321.70490903999996</v>
      </c>
      <c r="N54" s="155">
        <f t="shared" si="11"/>
        <v>965.1147271199999</v>
      </c>
      <c r="O54" s="155">
        <f t="shared" si="13"/>
        <v>643.4</v>
      </c>
      <c r="P54" s="155">
        <f t="shared" si="14"/>
        <v>1930.22</v>
      </c>
      <c r="Q54" s="156">
        <f t="shared" si="15"/>
        <v>2573.62</v>
      </c>
      <c r="U54" s="114">
        <v>1013.243808</v>
      </c>
      <c r="X54" s="111">
        <f t="shared" si="0"/>
        <v>0.019272319999799947</v>
      </c>
    </row>
    <row r="55" spans="2:24" s="111" customFormat="1" ht="12.75">
      <c r="B55" s="148" t="s">
        <v>785</v>
      </c>
      <c r="C55" s="149" t="s">
        <v>60</v>
      </c>
      <c r="D55" s="150" t="s">
        <v>17</v>
      </c>
      <c r="E55" s="173" t="s">
        <v>68</v>
      </c>
      <c r="F55" s="152" t="s">
        <v>33</v>
      </c>
      <c r="G55" s="153"/>
      <c r="H55" s="153">
        <v>2</v>
      </c>
      <c r="I55" s="153"/>
      <c r="J55" s="153"/>
      <c r="K55" s="153"/>
      <c r="L55" s="154">
        <f t="shared" si="12"/>
        <v>2</v>
      </c>
      <c r="M55" s="155">
        <f t="shared" si="10"/>
        <v>331.89784014</v>
      </c>
      <c r="N55" s="155">
        <f t="shared" si="11"/>
        <v>995.6935204200001</v>
      </c>
      <c r="O55" s="155">
        <f t="shared" si="13"/>
        <v>663.79</v>
      </c>
      <c r="P55" s="155">
        <f t="shared" si="14"/>
        <v>1991.38</v>
      </c>
      <c r="Q55" s="156">
        <f t="shared" si="15"/>
        <v>2655.17</v>
      </c>
      <c r="U55" s="114">
        <v>1045.347528</v>
      </c>
      <c r="X55" s="111">
        <f t="shared" si="0"/>
        <v>0.012721120000151132</v>
      </c>
    </row>
    <row r="56" spans="2:24" s="111" customFormat="1" ht="12.75">
      <c r="B56" s="148" t="s">
        <v>786</v>
      </c>
      <c r="C56" s="149" t="s">
        <v>61</v>
      </c>
      <c r="D56" s="150" t="s">
        <v>17</v>
      </c>
      <c r="E56" s="173" t="s">
        <v>69</v>
      </c>
      <c r="F56" s="152" t="s">
        <v>33</v>
      </c>
      <c r="G56" s="153"/>
      <c r="H56" s="153">
        <v>2</v>
      </c>
      <c r="I56" s="153"/>
      <c r="J56" s="153"/>
      <c r="K56" s="153"/>
      <c r="L56" s="154">
        <f t="shared" si="12"/>
        <v>2</v>
      </c>
      <c r="M56" s="155">
        <f t="shared" si="10"/>
        <v>365.35269956999997</v>
      </c>
      <c r="N56" s="155">
        <f t="shared" si="11"/>
        <v>1096.05809871</v>
      </c>
      <c r="O56" s="155">
        <f t="shared" si="13"/>
        <v>730.7</v>
      </c>
      <c r="P56" s="155">
        <f t="shared" si="14"/>
        <v>2192.11</v>
      </c>
      <c r="Q56" s="156">
        <f t="shared" si="15"/>
        <v>2922.8100000000004</v>
      </c>
      <c r="U56" s="114">
        <v>1150.717164</v>
      </c>
      <c r="X56" s="111">
        <f t="shared" si="0"/>
        <v>0.011596559999361489</v>
      </c>
    </row>
    <row r="57" spans="2:24" s="111" customFormat="1" ht="12.75">
      <c r="B57" s="148" t="s">
        <v>787</v>
      </c>
      <c r="C57" s="149" t="s">
        <v>62</v>
      </c>
      <c r="D57" s="150" t="s">
        <v>17</v>
      </c>
      <c r="E57" s="173" t="s">
        <v>70</v>
      </c>
      <c r="F57" s="152" t="s">
        <v>33</v>
      </c>
      <c r="G57" s="153"/>
      <c r="H57" s="153">
        <v>2</v>
      </c>
      <c r="I57" s="153"/>
      <c r="J57" s="153"/>
      <c r="K57" s="153"/>
      <c r="L57" s="154">
        <f t="shared" si="12"/>
        <v>2</v>
      </c>
      <c r="M57" s="155">
        <f t="shared" si="10"/>
        <v>321.30391034999997</v>
      </c>
      <c r="N57" s="155">
        <f t="shared" si="11"/>
        <v>963.9117310499998</v>
      </c>
      <c r="O57" s="155">
        <f t="shared" si="13"/>
        <v>642.6</v>
      </c>
      <c r="P57" s="155">
        <f t="shared" si="14"/>
        <v>1927.82</v>
      </c>
      <c r="Q57" s="156">
        <f t="shared" si="15"/>
        <v>2570.42</v>
      </c>
      <c r="U57" s="114">
        <v>1011.9808199999999</v>
      </c>
      <c r="X57" s="111">
        <f t="shared" si="0"/>
        <v>0.01128279999966253</v>
      </c>
    </row>
    <row r="58" spans="2:24" s="111" customFormat="1" ht="12.75">
      <c r="B58" s="148" t="s">
        <v>788</v>
      </c>
      <c r="C58" s="149" t="s">
        <v>63</v>
      </c>
      <c r="D58" s="150" t="s">
        <v>17</v>
      </c>
      <c r="E58" s="173" t="s">
        <v>71</v>
      </c>
      <c r="F58" s="152" t="s">
        <v>33</v>
      </c>
      <c r="G58" s="153"/>
      <c r="H58" s="153">
        <v>2</v>
      </c>
      <c r="I58" s="153"/>
      <c r="J58" s="153"/>
      <c r="K58" s="153"/>
      <c r="L58" s="154">
        <f t="shared" si="12"/>
        <v>2</v>
      </c>
      <c r="M58" s="155">
        <f t="shared" si="10"/>
        <v>337.38984084000003</v>
      </c>
      <c r="N58" s="155">
        <f t="shared" si="11"/>
        <v>1012.1695225200001</v>
      </c>
      <c r="O58" s="155">
        <f t="shared" si="13"/>
        <v>674.77</v>
      </c>
      <c r="P58" s="155">
        <f t="shared" si="14"/>
        <v>2024.33</v>
      </c>
      <c r="Q58" s="156">
        <f t="shared" si="15"/>
        <v>2699.1</v>
      </c>
      <c r="U58" s="114">
        <v>1062.645168</v>
      </c>
      <c r="X58" s="111">
        <f t="shared" si="0"/>
        <v>0.01872672000035891</v>
      </c>
    </row>
    <row r="59" spans="2:24" s="111" customFormat="1" ht="12.75">
      <c r="B59" s="148" t="s">
        <v>789</v>
      </c>
      <c r="C59" s="149" t="s">
        <v>64</v>
      </c>
      <c r="D59" s="150" t="s">
        <v>17</v>
      </c>
      <c r="E59" s="173" t="s">
        <v>72</v>
      </c>
      <c r="F59" s="152" t="s">
        <v>33</v>
      </c>
      <c r="G59" s="153"/>
      <c r="H59" s="153">
        <v>2</v>
      </c>
      <c r="I59" s="153"/>
      <c r="J59" s="153"/>
      <c r="K59" s="153"/>
      <c r="L59" s="154">
        <f t="shared" si="12"/>
        <v>2</v>
      </c>
      <c r="M59" s="155">
        <f t="shared" si="10"/>
        <v>347.36528189999996</v>
      </c>
      <c r="N59" s="155">
        <f t="shared" si="11"/>
        <v>1042.0958457</v>
      </c>
      <c r="O59" s="155">
        <f t="shared" si="13"/>
        <v>694.73</v>
      </c>
      <c r="P59" s="155">
        <f t="shared" si="14"/>
        <v>2084.19</v>
      </c>
      <c r="Q59" s="156">
        <f t="shared" si="15"/>
        <v>2778.92</v>
      </c>
      <c r="U59" s="114">
        <v>1094.06388</v>
      </c>
      <c r="X59" s="111">
        <f t="shared" si="0"/>
        <v>0.0022551999995812366</v>
      </c>
    </row>
    <row r="60" spans="2:24" s="111" customFormat="1" ht="12.75">
      <c r="B60" s="148" t="s">
        <v>790</v>
      </c>
      <c r="C60" s="149" t="s">
        <v>65</v>
      </c>
      <c r="D60" s="150" t="s">
        <v>17</v>
      </c>
      <c r="E60" s="173" t="s">
        <v>73</v>
      </c>
      <c r="F60" s="152" t="s">
        <v>33</v>
      </c>
      <c r="G60" s="153"/>
      <c r="H60" s="153">
        <v>2</v>
      </c>
      <c r="I60" s="153"/>
      <c r="J60" s="153"/>
      <c r="K60" s="153"/>
      <c r="L60" s="154">
        <f t="shared" si="12"/>
        <v>2</v>
      </c>
      <c r="M60" s="155">
        <f t="shared" si="10"/>
        <v>363.74277264</v>
      </c>
      <c r="N60" s="155">
        <f t="shared" si="11"/>
        <v>1091.2283179199999</v>
      </c>
      <c r="O60" s="155">
        <f t="shared" si="13"/>
        <v>727.48</v>
      </c>
      <c r="P60" s="155">
        <f t="shared" si="14"/>
        <v>2182.45</v>
      </c>
      <c r="Q60" s="156">
        <f t="shared" si="15"/>
        <v>2909.93</v>
      </c>
      <c r="U60" s="114">
        <v>1145.646528</v>
      </c>
      <c r="X60" s="111">
        <f t="shared" si="0"/>
        <v>0.012181120000150258</v>
      </c>
    </row>
    <row r="61" spans="2:24" s="111" customFormat="1" ht="22.5">
      <c r="B61" s="148" t="s">
        <v>791</v>
      </c>
      <c r="C61" s="149" t="s">
        <v>87</v>
      </c>
      <c r="D61" s="150" t="s">
        <v>17</v>
      </c>
      <c r="E61" s="173" t="s">
        <v>88</v>
      </c>
      <c r="F61" s="152" t="s">
        <v>33</v>
      </c>
      <c r="G61" s="153"/>
      <c r="H61" s="153">
        <v>16</v>
      </c>
      <c r="I61" s="153"/>
      <c r="J61" s="153"/>
      <c r="K61" s="153"/>
      <c r="L61" s="154">
        <f t="shared" si="12"/>
        <v>16</v>
      </c>
      <c r="M61" s="155">
        <f t="shared" si="10"/>
        <v>37.369187231249995</v>
      </c>
      <c r="N61" s="155">
        <f t="shared" si="11"/>
        <v>112.10756169374999</v>
      </c>
      <c r="O61" s="155">
        <f t="shared" si="13"/>
        <v>597.9</v>
      </c>
      <c r="P61" s="155">
        <f t="shared" si="14"/>
        <v>1793.72</v>
      </c>
      <c r="Q61" s="156">
        <f t="shared" si="15"/>
        <v>2391.62</v>
      </c>
      <c r="U61" s="114">
        <v>117.69822749999999</v>
      </c>
      <c r="X61" s="111">
        <f t="shared" si="0"/>
        <v>0.007982799999808776</v>
      </c>
    </row>
    <row r="62" spans="2:24" s="111" customFormat="1" ht="12.75">
      <c r="B62" s="148" t="s">
        <v>792</v>
      </c>
      <c r="C62" s="149" t="s">
        <v>404</v>
      </c>
      <c r="D62" s="150" t="s">
        <v>17</v>
      </c>
      <c r="E62" s="173" t="s">
        <v>406</v>
      </c>
      <c r="F62" s="152" t="s">
        <v>33</v>
      </c>
      <c r="G62" s="153"/>
      <c r="H62" s="153">
        <v>6</v>
      </c>
      <c r="I62" s="153"/>
      <c r="J62" s="153"/>
      <c r="K62" s="153"/>
      <c r="L62" s="154">
        <f t="shared" si="12"/>
        <v>6</v>
      </c>
      <c r="M62" s="155">
        <f t="shared" si="10"/>
        <v>100.2117963375</v>
      </c>
      <c r="N62" s="155">
        <f t="shared" si="11"/>
        <v>300.6353890125</v>
      </c>
      <c r="O62" s="155">
        <f t="shared" si="13"/>
        <v>601.27</v>
      </c>
      <c r="P62" s="155">
        <f t="shared" si="14"/>
        <v>1803.81</v>
      </c>
      <c r="Q62" s="156">
        <f t="shared" si="15"/>
        <v>2405.08</v>
      </c>
      <c r="U62" s="114">
        <v>315.627705</v>
      </c>
      <c r="X62" s="111">
        <f t="shared" si="0"/>
        <v>0.0031121000001803623</v>
      </c>
    </row>
    <row r="63" spans="2:24" s="111" customFormat="1" ht="12.75">
      <c r="B63" s="148" t="s">
        <v>793</v>
      </c>
      <c r="C63" s="149" t="s">
        <v>405</v>
      </c>
      <c r="D63" s="150" t="s">
        <v>17</v>
      </c>
      <c r="E63" s="173" t="s">
        <v>407</v>
      </c>
      <c r="F63" s="152" t="s">
        <v>33</v>
      </c>
      <c r="G63" s="153"/>
      <c r="H63" s="153">
        <v>8</v>
      </c>
      <c r="I63" s="153"/>
      <c r="J63" s="153"/>
      <c r="K63" s="153"/>
      <c r="L63" s="154">
        <f t="shared" si="12"/>
        <v>8</v>
      </c>
      <c r="M63" s="155">
        <f t="shared" si="10"/>
        <v>104.2659792375</v>
      </c>
      <c r="N63" s="155">
        <f t="shared" si="11"/>
        <v>312.7979377125</v>
      </c>
      <c r="O63" s="155">
        <f t="shared" si="13"/>
        <v>834.12</v>
      </c>
      <c r="P63" s="155">
        <f t="shared" si="14"/>
        <v>2502.38</v>
      </c>
      <c r="Q63" s="156">
        <f t="shared" si="15"/>
        <v>3336.5</v>
      </c>
      <c r="U63" s="114">
        <v>328.396785</v>
      </c>
      <c r="X63" s="111">
        <f t="shared" si="0"/>
        <v>0.011335600000165869</v>
      </c>
    </row>
    <row r="64" spans="2:24" s="111" customFormat="1" ht="33.75">
      <c r="B64" s="148" t="s">
        <v>794</v>
      </c>
      <c r="C64" s="149" t="s">
        <v>401</v>
      </c>
      <c r="D64" s="150" t="s">
        <v>17</v>
      </c>
      <c r="E64" s="173" t="s">
        <v>408</v>
      </c>
      <c r="F64" s="152" t="s">
        <v>363</v>
      </c>
      <c r="G64" s="153"/>
      <c r="H64" s="153">
        <v>564.04</v>
      </c>
      <c r="I64" s="153"/>
      <c r="J64" s="153"/>
      <c r="K64" s="153"/>
      <c r="L64" s="154">
        <f t="shared" si="12"/>
        <v>564.04</v>
      </c>
      <c r="M64" s="155">
        <f t="shared" si="10"/>
        <v>3.745354650220264</v>
      </c>
      <c r="N64" s="155">
        <f t="shared" si="11"/>
        <v>11.236063950660792</v>
      </c>
      <c r="O64" s="155">
        <f t="shared" si="13"/>
        <v>2112.52</v>
      </c>
      <c r="P64" s="155">
        <f t="shared" si="14"/>
        <v>6337.58</v>
      </c>
      <c r="Q64" s="156">
        <f t="shared" si="15"/>
        <v>8450.1</v>
      </c>
      <c r="U64" s="114">
        <v>11.796392599118942</v>
      </c>
      <c r="X64" s="111">
        <f t="shared" si="0"/>
        <v>0.019347640949490597</v>
      </c>
    </row>
    <row r="65" spans="2:24" s="111" customFormat="1" ht="12.75">
      <c r="B65" s="148" t="s">
        <v>795</v>
      </c>
      <c r="C65" s="149" t="s">
        <v>159</v>
      </c>
      <c r="D65" s="150" t="s">
        <v>17</v>
      </c>
      <c r="E65" s="173" t="s">
        <v>160</v>
      </c>
      <c r="F65" s="152" t="s">
        <v>33</v>
      </c>
      <c r="G65" s="153"/>
      <c r="H65" s="153">
        <v>14</v>
      </c>
      <c r="I65" s="153"/>
      <c r="J65" s="153"/>
      <c r="K65" s="153"/>
      <c r="L65" s="154">
        <f t="shared" si="12"/>
        <v>14</v>
      </c>
      <c r="M65" s="155">
        <f t="shared" si="10"/>
        <v>316.35814553999995</v>
      </c>
      <c r="N65" s="155">
        <f t="shared" si="11"/>
        <v>949.0744366199999</v>
      </c>
      <c r="O65" s="155">
        <f t="shared" si="13"/>
        <v>4429.01</v>
      </c>
      <c r="P65" s="155">
        <f t="shared" si="14"/>
        <v>13287.04</v>
      </c>
      <c r="Q65" s="156">
        <f t="shared" si="15"/>
        <v>17716.050000000003</v>
      </c>
      <c r="U65" s="114">
        <v>996.4036079999998</v>
      </c>
      <c r="X65" s="111">
        <f t="shared" si="0"/>
        <v>0.006150239994894946</v>
      </c>
    </row>
    <row r="66" spans="2:23" s="111" customFormat="1" ht="12.75">
      <c r="B66" s="182"/>
      <c r="C66" s="158"/>
      <c r="D66" s="159"/>
      <c r="E66" s="160" t="s">
        <v>249</v>
      </c>
      <c r="F66" s="183"/>
      <c r="G66" s="174"/>
      <c r="H66" s="174"/>
      <c r="I66" s="174"/>
      <c r="J66" s="174"/>
      <c r="K66" s="174"/>
      <c r="L66" s="161"/>
      <c r="M66" s="161"/>
      <c r="N66" s="161"/>
      <c r="O66" s="162">
        <f>SUM(O43:O65)</f>
        <v>57946.31</v>
      </c>
      <c r="P66" s="162">
        <f>SUM(P43:P65)</f>
        <v>173839.21000000002</v>
      </c>
      <c r="Q66" s="163">
        <f>TRUNC(SUM(Q43:Q65),2)</f>
        <v>231785.52</v>
      </c>
      <c r="U66" s="114"/>
      <c r="W66" s="116">
        <f>Q66</f>
        <v>231785.52</v>
      </c>
    </row>
    <row r="67" spans="2:24" s="120" customFormat="1" ht="12.75">
      <c r="B67" s="164" t="s">
        <v>252</v>
      </c>
      <c r="C67" s="149"/>
      <c r="D67" s="168"/>
      <c r="E67" s="184" t="s">
        <v>705</v>
      </c>
      <c r="F67" s="185"/>
      <c r="G67" s="186"/>
      <c r="H67" s="186"/>
      <c r="I67" s="186"/>
      <c r="J67" s="186"/>
      <c r="K67" s="186"/>
      <c r="L67" s="187"/>
      <c r="M67" s="187"/>
      <c r="N67" s="187"/>
      <c r="O67" s="187"/>
      <c r="P67" s="187"/>
      <c r="Q67" s="188"/>
      <c r="U67" s="117"/>
      <c r="X67" s="111">
        <f t="shared" si="0"/>
        <v>0</v>
      </c>
    </row>
    <row r="68" spans="2:24" s="121" customFormat="1" ht="22.5">
      <c r="B68" s="148" t="s">
        <v>253</v>
      </c>
      <c r="C68" s="149">
        <v>55835</v>
      </c>
      <c r="D68" s="150" t="s">
        <v>17</v>
      </c>
      <c r="E68" s="171" t="s">
        <v>704</v>
      </c>
      <c r="F68" s="152" t="s">
        <v>148</v>
      </c>
      <c r="G68" s="153">
        <v>36.79</v>
      </c>
      <c r="H68" s="153"/>
      <c r="I68" s="153"/>
      <c r="J68" s="153"/>
      <c r="K68" s="153">
        <v>60.62</v>
      </c>
      <c r="L68" s="154">
        <f aca="true" t="shared" si="16" ref="L68:L73">SUM(G68:K68)</f>
        <v>97.41</v>
      </c>
      <c r="M68" s="155">
        <f aca="true" t="shared" si="17" ref="M68:M77">U68*(1+$L$199/100)*0.25</f>
        <v>16.697325000000003</v>
      </c>
      <c r="N68" s="155">
        <f aca="true" t="shared" si="18" ref="N68:N77">U68*(1+$L$199/100)*0.75</f>
        <v>50.091975000000005</v>
      </c>
      <c r="O68" s="155">
        <f aca="true" t="shared" si="19" ref="O68:O77">TRUNC(L68*M68,2)</f>
        <v>1626.48</v>
      </c>
      <c r="P68" s="155">
        <f aca="true" t="shared" si="20" ref="P68:P77">TRUNC(L68*N68,2)</f>
        <v>4879.45</v>
      </c>
      <c r="Q68" s="156">
        <f aca="true" t="shared" si="21" ref="Q68:Q77">SUM(O68:P68)</f>
        <v>6505.93</v>
      </c>
      <c r="U68" s="114">
        <v>52.59</v>
      </c>
      <c r="X68" s="111">
        <f t="shared" si="0"/>
        <v>0.015713000000687316</v>
      </c>
    </row>
    <row r="69" spans="2:24" s="121" customFormat="1" ht="67.5">
      <c r="B69" s="170" t="s">
        <v>227</v>
      </c>
      <c r="C69" s="149" t="s">
        <v>111</v>
      </c>
      <c r="D69" s="150" t="s">
        <v>17</v>
      </c>
      <c r="E69" s="172" t="s">
        <v>112</v>
      </c>
      <c r="F69" s="168" t="s">
        <v>33</v>
      </c>
      <c r="G69" s="153"/>
      <c r="H69" s="153"/>
      <c r="I69" s="153"/>
      <c r="J69" s="153"/>
      <c r="K69" s="153">
        <v>134.55</v>
      </c>
      <c r="L69" s="154">
        <f t="shared" si="16"/>
        <v>134.55</v>
      </c>
      <c r="M69" s="155">
        <f t="shared" si="17"/>
        <v>11.191875</v>
      </c>
      <c r="N69" s="155">
        <f t="shared" si="18"/>
        <v>33.575625</v>
      </c>
      <c r="O69" s="155">
        <f t="shared" si="19"/>
        <v>1505.86</v>
      </c>
      <c r="P69" s="155">
        <f t="shared" si="20"/>
        <v>4517.6</v>
      </c>
      <c r="Q69" s="156">
        <f t="shared" si="21"/>
        <v>6023.46</v>
      </c>
      <c r="U69" s="114">
        <v>35.25</v>
      </c>
      <c r="X69" s="111">
        <f t="shared" si="0"/>
        <v>0.0071250000000873115</v>
      </c>
    </row>
    <row r="70" spans="2:24" s="121" customFormat="1" ht="12.75">
      <c r="B70" s="170" t="s">
        <v>703</v>
      </c>
      <c r="C70" s="149">
        <v>87248</v>
      </c>
      <c r="D70" s="150" t="s">
        <v>17</v>
      </c>
      <c r="E70" s="189" t="s">
        <v>702</v>
      </c>
      <c r="F70" s="152" t="s">
        <v>228</v>
      </c>
      <c r="G70" s="153">
        <f>22.72+10.32+4.48+6.16+6.16</f>
        <v>49.83999999999999</v>
      </c>
      <c r="H70" s="153"/>
      <c r="I70" s="153"/>
      <c r="J70" s="153"/>
      <c r="K70" s="153">
        <v>7.82</v>
      </c>
      <c r="L70" s="154">
        <f t="shared" si="16"/>
        <v>57.65999999999999</v>
      </c>
      <c r="M70" s="155">
        <f t="shared" si="17"/>
        <v>7.72795</v>
      </c>
      <c r="N70" s="155">
        <f t="shared" si="18"/>
        <v>23.18385</v>
      </c>
      <c r="O70" s="155">
        <f t="shared" si="19"/>
        <v>445.59</v>
      </c>
      <c r="P70" s="155">
        <f t="shared" si="20"/>
        <v>1336.78</v>
      </c>
      <c r="Q70" s="156">
        <f t="shared" si="21"/>
        <v>1782.37</v>
      </c>
      <c r="U70" s="114">
        <v>24.34</v>
      </c>
      <c r="X70" s="111">
        <f t="shared" si="0"/>
        <v>0.004387999999835301</v>
      </c>
    </row>
    <row r="71" spans="2:24" s="121" customFormat="1" ht="33.75">
      <c r="B71" s="170" t="s">
        <v>701</v>
      </c>
      <c r="C71" s="149" t="s">
        <v>700</v>
      </c>
      <c r="D71" s="150" t="s">
        <v>17</v>
      </c>
      <c r="E71" s="189" t="s">
        <v>699</v>
      </c>
      <c r="F71" s="152" t="s">
        <v>228</v>
      </c>
      <c r="G71" s="153"/>
      <c r="H71" s="153"/>
      <c r="I71" s="153">
        <v>166.62</v>
      </c>
      <c r="J71" s="153"/>
      <c r="K71" s="153"/>
      <c r="L71" s="154">
        <f t="shared" si="16"/>
        <v>166.62</v>
      </c>
      <c r="M71" s="155">
        <f t="shared" si="17"/>
        <v>58.50890000000001</v>
      </c>
      <c r="N71" s="155">
        <f t="shared" si="18"/>
        <v>175.52670000000003</v>
      </c>
      <c r="O71" s="155">
        <f t="shared" si="19"/>
        <v>9748.75</v>
      </c>
      <c r="P71" s="155">
        <f t="shared" si="20"/>
        <v>29246.25</v>
      </c>
      <c r="Q71" s="156">
        <f t="shared" si="21"/>
        <v>38995</v>
      </c>
      <c r="U71" s="114">
        <f>'COMP.4'!K18</f>
        <v>184.28000000000003</v>
      </c>
      <c r="X71" s="111">
        <f t="shared" si="0"/>
        <v>0.011672000007820316</v>
      </c>
    </row>
    <row r="72" spans="2:24" s="121" customFormat="1" ht="56.25">
      <c r="B72" s="148" t="s">
        <v>698</v>
      </c>
      <c r="C72" s="149" t="s">
        <v>697</v>
      </c>
      <c r="D72" s="150" t="s">
        <v>17</v>
      </c>
      <c r="E72" s="151" t="s">
        <v>696</v>
      </c>
      <c r="F72" s="152" t="s">
        <v>228</v>
      </c>
      <c r="G72" s="153"/>
      <c r="H72" s="153">
        <v>669.6</v>
      </c>
      <c r="I72" s="153"/>
      <c r="J72" s="153"/>
      <c r="K72" s="153">
        <f>2583.05+48.8</f>
        <v>2631.8500000000004</v>
      </c>
      <c r="L72" s="154">
        <f t="shared" si="16"/>
        <v>3301.4500000000003</v>
      </c>
      <c r="M72" s="155">
        <f t="shared" si="17"/>
        <v>9.909302</v>
      </c>
      <c r="N72" s="155">
        <f t="shared" si="18"/>
        <v>29.727906</v>
      </c>
      <c r="O72" s="155">
        <f t="shared" si="19"/>
        <v>32715.06</v>
      </c>
      <c r="P72" s="155">
        <f t="shared" si="20"/>
        <v>98145.19</v>
      </c>
      <c r="Q72" s="156">
        <f t="shared" si="21"/>
        <v>130860.25</v>
      </c>
      <c r="T72" s="122"/>
      <c r="U72" s="114">
        <f>'COMP.3'!K23</f>
        <v>31.2104</v>
      </c>
      <c r="X72" s="111">
        <f t="shared" si="0"/>
        <v>0.010351600009016693</v>
      </c>
    </row>
    <row r="73" spans="2:24" s="121" customFormat="1" ht="33.75">
      <c r="B73" s="170" t="s">
        <v>695</v>
      </c>
      <c r="C73" s="149" t="s">
        <v>565</v>
      </c>
      <c r="D73" s="150" t="s">
        <v>17</v>
      </c>
      <c r="E73" s="151" t="s">
        <v>694</v>
      </c>
      <c r="F73" s="152" t="s">
        <v>126</v>
      </c>
      <c r="G73" s="153"/>
      <c r="H73" s="153"/>
      <c r="I73" s="153">
        <f>9.45+16+9.45+0.25+6.5</f>
        <v>41.65</v>
      </c>
      <c r="J73" s="153"/>
      <c r="K73" s="153"/>
      <c r="L73" s="154">
        <f t="shared" si="16"/>
        <v>41.65</v>
      </c>
      <c r="M73" s="155">
        <f t="shared" si="17"/>
        <v>14.2875</v>
      </c>
      <c r="N73" s="155">
        <f t="shared" si="18"/>
        <v>42.8625</v>
      </c>
      <c r="O73" s="155">
        <f t="shared" si="19"/>
        <v>595.07</v>
      </c>
      <c r="P73" s="155">
        <f t="shared" si="20"/>
        <v>1785.22</v>
      </c>
      <c r="Q73" s="156">
        <f t="shared" si="21"/>
        <v>2380.29</v>
      </c>
      <c r="T73" s="122"/>
      <c r="U73" s="114">
        <v>45</v>
      </c>
      <c r="X73" s="111">
        <f t="shared" si="0"/>
        <v>0.007499999999708962</v>
      </c>
    </row>
    <row r="74" spans="2:24" s="121" customFormat="1" ht="22.5">
      <c r="B74" s="170" t="s">
        <v>802</v>
      </c>
      <c r="C74" s="149" t="s">
        <v>234</v>
      </c>
      <c r="D74" s="150" t="s">
        <v>17</v>
      </c>
      <c r="E74" s="172" t="s">
        <v>235</v>
      </c>
      <c r="F74" s="168" t="s">
        <v>363</v>
      </c>
      <c r="G74" s="153"/>
      <c r="H74" s="153"/>
      <c r="I74" s="153"/>
      <c r="J74" s="153"/>
      <c r="K74" s="153"/>
      <c r="L74" s="154">
        <v>318.59999999999997</v>
      </c>
      <c r="M74" s="155">
        <f t="shared" si="17"/>
        <v>15.276814125</v>
      </c>
      <c r="N74" s="155">
        <f t="shared" si="18"/>
        <v>45.830442375</v>
      </c>
      <c r="O74" s="155">
        <f t="shared" si="19"/>
        <v>4867.19</v>
      </c>
      <c r="P74" s="155">
        <f t="shared" si="20"/>
        <v>14601.57</v>
      </c>
      <c r="Q74" s="156">
        <f t="shared" si="21"/>
        <v>19468.76</v>
      </c>
      <c r="T74" s="122"/>
      <c r="U74" s="114">
        <v>48.11595</v>
      </c>
      <c r="X74" s="111">
        <f t="shared" si="0"/>
        <v>0.0119209000004048</v>
      </c>
    </row>
    <row r="75" spans="2:24" s="121" customFormat="1" ht="12.75">
      <c r="B75" s="170" t="s">
        <v>803</v>
      </c>
      <c r="C75" s="149" t="s">
        <v>362</v>
      </c>
      <c r="D75" s="150" t="s">
        <v>17</v>
      </c>
      <c r="E75" s="172" t="s">
        <v>361</v>
      </c>
      <c r="F75" s="168" t="s">
        <v>363</v>
      </c>
      <c r="G75" s="153"/>
      <c r="H75" s="153"/>
      <c r="I75" s="153"/>
      <c r="J75" s="153"/>
      <c r="K75" s="153"/>
      <c r="L75" s="154">
        <v>166.62</v>
      </c>
      <c r="M75" s="155">
        <f t="shared" si="17"/>
        <v>2.9575125</v>
      </c>
      <c r="N75" s="155">
        <f t="shared" si="18"/>
        <v>8.8725375</v>
      </c>
      <c r="O75" s="155">
        <f t="shared" si="19"/>
        <v>492.78</v>
      </c>
      <c r="P75" s="155">
        <f t="shared" si="20"/>
        <v>1478.34</v>
      </c>
      <c r="Q75" s="156">
        <f t="shared" si="21"/>
        <v>1971.12</v>
      </c>
      <c r="T75" s="122"/>
      <c r="U75" s="114">
        <v>9.315</v>
      </c>
      <c r="X75" s="111">
        <f aca="true" t="shared" si="22" ref="X75:X138">(L75*M75)+(L75*N75)-(Q75)</f>
        <v>0.0029310000002169545</v>
      </c>
    </row>
    <row r="76" spans="2:24" s="121" customFormat="1" ht="56.25">
      <c r="B76" s="148" t="s">
        <v>804</v>
      </c>
      <c r="C76" s="149" t="s">
        <v>364</v>
      </c>
      <c r="D76" s="150" t="s">
        <v>17</v>
      </c>
      <c r="E76" s="172" t="s">
        <v>365</v>
      </c>
      <c r="F76" s="168" t="s">
        <v>363</v>
      </c>
      <c r="G76" s="153"/>
      <c r="H76" s="153"/>
      <c r="I76" s="153"/>
      <c r="J76" s="153"/>
      <c r="K76" s="153"/>
      <c r="L76" s="154">
        <v>2.6999999999999997</v>
      </c>
      <c r="M76" s="155">
        <f t="shared" si="17"/>
        <v>8.308975</v>
      </c>
      <c r="N76" s="155">
        <f t="shared" si="18"/>
        <v>24.926925</v>
      </c>
      <c r="O76" s="155">
        <f t="shared" si="19"/>
        <v>22.43</v>
      </c>
      <c r="P76" s="155">
        <f t="shared" si="20"/>
        <v>67.3</v>
      </c>
      <c r="Q76" s="156">
        <f t="shared" si="21"/>
        <v>89.72999999999999</v>
      </c>
      <c r="T76" s="122"/>
      <c r="U76" s="114">
        <v>26.17</v>
      </c>
      <c r="X76" s="111">
        <f t="shared" si="22"/>
        <v>0.006929999999996994</v>
      </c>
    </row>
    <row r="77" spans="2:24" s="121" customFormat="1" ht="33.75">
      <c r="B77" s="170" t="s">
        <v>805</v>
      </c>
      <c r="C77" s="149" t="s">
        <v>388</v>
      </c>
      <c r="D77" s="150" t="s">
        <v>17</v>
      </c>
      <c r="E77" s="172" t="s">
        <v>389</v>
      </c>
      <c r="F77" s="168" t="s">
        <v>22</v>
      </c>
      <c r="G77" s="153"/>
      <c r="H77" s="153"/>
      <c r="I77" s="153"/>
      <c r="J77" s="153"/>
      <c r="K77" s="153"/>
      <c r="L77" s="154">
        <v>1202.2592</v>
      </c>
      <c r="M77" s="155">
        <f t="shared" si="17"/>
        <v>1.6891</v>
      </c>
      <c r="N77" s="155">
        <f t="shared" si="18"/>
        <v>5.0673</v>
      </c>
      <c r="O77" s="155">
        <f t="shared" si="19"/>
        <v>2030.73</v>
      </c>
      <c r="P77" s="155">
        <f t="shared" si="20"/>
        <v>6092.2</v>
      </c>
      <c r="Q77" s="156">
        <f t="shared" si="21"/>
        <v>8122.93</v>
      </c>
      <c r="T77" s="122"/>
      <c r="U77" s="114">
        <v>5.32</v>
      </c>
      <c r="X77" s="111">
        <f t="shared" si="22"/>
        <v>0.014058879999538476</v>
      </c>
    </row>
    <row r="78" spans="2:23" s="111" customFormat="1" ht="12.75">
      <c r="B78" s="157"/>
      <c r="C78" s="158"/>
      <c r="D78" s="190"/>
      <c r="E78" s="160" t="s">
        <v>254</v>
      </c>
      <c r="F78" s="183"/>
      <c r="G78" s="174"/>
      <c r="H78" s="174"/>
      <c r="I78" s="174"/>
      <c r="J78" s="174"/>
      <c r="K78" s="174"/>
      <c r="L78" s="161"/>
      <c r="M78" s="161"/>
      <c r="N78" s="161"/>
      <c r="O78" s="162">
        <f>SUM(O68:O77)</f>
        <v>54049.94000000001</v>
      </c>
      <c r="P78" s="162">
        <f>SUM(P68:P77)</f>
        <v>162149.90000000002</v>
      </c>
      <c r="Q78" s="163">
        <f>TRUNC(SUM(Q68:Q77),2)</f>
        <v>216199.84</v>
      </c>
      <c r="U78" s="114"/>
      <c r="W78" s="116">
        <f>Q78</f>
        <v>216199.84</v>
      </c>
    </row>
    <row r="79" spans="2:24" s="111" customFormat="1" ht="12.75">
      <c r="B79" s="164" t="s">
        <v>312</v>
      </c>
      <c r="C79" s="149"/>
      <c r="D79" s="168"/>
      <c r="E79" s="184" t="s">
        <v>693</v>
      </c>
      <c r="F79" s="185"/>
      <c r="G79" s="186"/>
      <c r="H79" s="186"/>
      <c r="I79" s="186"/>
      <c r="J79" s="186"/>
      <c r="K79" s="186"/>
      <c r="L79" s="187"/>
      <c r="M79" s="187"/>
      <c r="N79" s="187"/>
      <c r="O79" s="187"/>
      <c r="P79" s="187"/>
      <c r="Q79" s="188"/>
      <c r="U79" s="114"/>
      <c r="X79" s="111">
        <f t="shared" si="22"/>
        <v>0</v>
      </c>
    </row>
    <row r="80" spans="2:24" s="111" customFormat="1" ht="56.25">
      <c r="B80" s="148" t="s">
        <v>313</v>
      </c>
      <c r="C80" s="149">
        <v>87904</v>
      </c>
      <c r="D80" s="150" t="s">
        <v>17</v>
      </c>
      <c r="E80" s="172" t="s">
        <v>692</v>
      </c>
      <c r="F80" s="152" t="s">
        <v>228</v>
      </c>
      <c r="G80" s="153">
        <f>(29.2+8.8+10+10)*3.8</f>
        <v>220.39999999999998</v>
      </c>
      <c r="H80" s="153"/>
      <c r="I80" s="153"/>
      <c r="J80" s="153">
        <f>(2.6+0.5+0.5+2.4)*2*2.6</f>
        <v>31.200000000000003</v>
      </c>
      <c r="K80" s="153">
        <f>4.6*2</f>
        <v>9.2</v>
      </c>
      <c r="L80" s="154">
        <f>SUM(G80:K80)</f>
        <v>260.79999999999995</v>
      </c>
      <c r="M80" s="155">
        <f>U80*(1+$L$199/100)*0.25</f>
        <v>2.105025</v>
      </c>
      <c r="N80" s="155">
        <f>U80*(1+$L$199/100)*0.75</f>
        <v>6.315075</v>
      </c>
      <c r="O80" s="155">
        <f>TRUNC(L80*M80,2)</f>
        <v>548.99</v>
      </c>
      <c r="P80" s="155">
        <f>TRUNC(L80*N80,2)</f>
        <v>1646.97</v>
      </c>
      <c r="Q80" s="156">
        <f>SUM(O80:P80)</f>
        <v>2195.96</v>
      </c>
      <c r="U80" s="114">
        <v>6.63</v>
      </c>
      <c r="X80" s="111">
        <f t="shared" si="22"/>
        <v>0.0020799999992959783</v>
      </c>
    </row>
    <row r="81" spans="2:24" s="111" customFormat="1" ht="45">
      <c r="B81" s="148" t="s">
        <v>691</v>
      </c>
      <c r="C81" s="149">
        <v>87777</v>
      </c>
      <c r="D81" s="150" t="s">
        <v>17</v>
      </c>
      <c r="E81" s="172" t="s">
        <v>690</v>
      </c>
      <c r="F81" s="152" t="s">
        <v>228</v>
      </c>
      <c r="G81" s="153">
        <f>(29.2+8.8+10+10)*3.8</f>
        <v>220.39999999999998</v>
      </c>
      <c r="H81" s="153"/>
      <c r="I81" s="153"/>
      <c r="J81" s="153">
        <f>J80</f>
        <v>31.200000000000003</v>
      </c>
      <c r="K81" s="153">
        <f>K80</f>
        <v>9.2</v>
      </c>
      <c r="L81" s="154">
        <f>SUM(G81:K81)</f>
        <v>260.79999999999995</v>
      </c>
      <c r="M81" s="155">
        <f>U81*(1+$L$199/100)*0.25</f>
        <v>13.369925</v>
      </c>
      <c r="N81" s="155">
        <f>U81*(1+$L$199/100)*0.75</f>
        <v>40.109775</v>
      </c>
      <c r="O81" s="155">
        <f>TRUNC(L81*M81,2)</f>
        <v>3486.87</v>
      </c>
      <c r="P81" s="155">
        <f>TRUNC(L81*N81,2)</f>
        <v>10460.62</v>
      </c>
      <c r="Q81" s="156">
        <f>SUM(O81:P81)</f>
        <v>13947.490000000002</v>
      </c>
      <c r="U81" s="114">
        <v>42.11</v>
      </c>
      <c r="X81" s="111">
        <f t="shared" si="22"/>
        <v>0.015759999996589613</v>
      </c>
    </row>
    <row r="82" spans="2:24" s="111" customFormat="1" ht="22.5">
      <c r="B82" s="148" t="s">
        <v>689</v>
      </c>
      <c r="C82" s="149">
        <v>5998</v>
      </c>
      <c r="D82" s="150" t="s">
        <v>17</v>
      </c>
      <c r="E82" s="172" t="s">
        <v>688</v>
      </c>
      <c r="F82" s="152" t="s">
        <v>228</v>
      </c>
      <c r="G82" s="153">
        <f>(29.2)*3.8</f>
        <v>110.96</v>
      </c>
      <c r="H82" s="153"/>
      <c r="I82" s="153"/>
      <c r="J82" s="153">
        <f>J80</f>
        <v>31.200000000000003</v>
      </c>
      <c r="K82" s="153">
        <f>K80</f>
        <v>9.2</v>
      </c>
      <c r="L82" s="154">
        <f>SUM(G82:K82)</f>
        <v>151.35999999999999</v>
      </c>
      <c r="M82" s="155">
        <f>U82*(1+$L$199/100)*0.25</f>
        <v>0.2794</v>
      </c>
      <c r="N82" s="155">
        <f>U82*(1+$L$199/100)*0.75</f>
        <v>0.8382</v>
      </c>
      <c r="O82" s="155">
        <f>TRUNC(L82*M82,2)</f>
        <v>42.28</v>
      </c>
      <c r="P82" s="155">
        <f>TRUNC(L82*N82,2)</f>
        <v>126.86</v>
      </c>
      <c r="Q82" s="156">
        <f>SUM(O82:P82)</f>
        <v>169.14</v>
      </c>
      <c r="U82" s="114">
        <v>0.88</v>
      </c>
      <c r="X82" s="111">
        <f t="shared" si="22"/>
        <v>0.019935999999972864</v>
      </c>
    </row>
    <row r="83" spans="2:24" s="111" customFormat="1" ht="45">
      <c r="B83" s="148" t="s">
        <v>687</v>
      </c>
      <c r="C83" s="149">
        <v>87269</v>
      </c>
      <c r="D83" s="150" t="s">
        <v>17</v>
      </c>
      <c r="E83" s="191" t="s">
        <v>686</v>
      </c>
      <c r="F83" s="152" t="s">
        <v>228</v>
      </c>
      <c r="G83" s="153">
        <f>(8.8+10+10)*3.8</f>
        <v>109.44</v>
      </c>
      <c r="H83" s="153"/>
      <c r="I83" s="153"/>
      <c r="J83" s="153"/>
      <c r="K83" s="153"/>
      <c r="L83" s="154">
        <f>SUM(G83:K83)</f>
        <v>109.44</v>
      </c>
      <c r="M83" s="155">
        <f>U83*(1+$L$199/100)*0.25</f>
        <v>15.732125</v>
      </c>
      <c r="N83" s="155">
        <f>U83*(1+$L$199/100)*0.75</f>
        <v>47.196375</v>
      </c>
      <c r="O83" s="155">
        <f>TRUNC(L83*M83,2)</f>
        <v>1721.72</v>
      </c>
      <c r="P83" s="155">
        <f>TRUNC(L83*N83,2)</f>
        <v>5165.17</v>
      </c>
      <c r="Q83" s="156">
        <f>SUM(O83:P83)</f>
        <v>6886.89</v>
      </c>
      <c r="U83" s="114">
        <v>49.55</v>
      </c>
      <c r="X83" s="111">
        <f t="shared" si="22"/>
        <v>0.005040000000008149</v>
      </c>
    </row>
    <row r="84" spans="2:23" s="111" customFormat="1" ht="12.75">
      <c r="B84" s="192"/>
      <c r="C84" s="158"/>
      <c r="D84" s="190"/>
      <c r="E84" s="193" t="s">
        <v>321</v>
      </c>
      <c r="F84" s="194"/>
      <c r="G84" s="195"/>
      <c r="H84" s="195"/>
      <c r="I84" s="195"/>
      <c r="J84" s="195"/>
      <c r="K84" s="195"/>
      <c r="L84" s="196"/>
      <c r="M84" s="196"/>
      <c r="N84" s="196"/>
      <c r="O84" s="196">
        <f>SUM(O80:O83)</f>
        <v>5799.86</v>
      </c>
      <c r="P84" s="196">
        <f>SUM(P80:P83)</f>
        <v>17399.620000000003</v>
      </c>
      <c r="Q84" s="197">
        <f>TRUNC(SUM(Q80:Q83),2)</f>
        <v>23199.48</v>
      </c>
      <c r="U84" s="114"/>
      <c r="W84" s="116">
        <f>Q84</f>
        <v>23199.48</v>
      </c>
    </row>
    <row r="85" spans="2:24" s="111" customFormat="1" ht="12.75">
      <c r="B85" s="164" t="s">
        <v>314</v>
      </c>
      <c r="C85" s="149"/>
      <c r="D85" s="168"/>
      <c r="E85" s="184" t="s">
        <v>685</v>
      </c>
      <c r="F85" s="185"/>
      <c r="G85" s="186"/>
      <c r="H85" s="186"/>
      <c r="I85" s="186"/>
      <c r="J85" s="186"/>
      <c r="K85" s="186"/>
      <c r="L85" s="187"/>
      <c r="M85" s="187"/>
      <c r="N85" s="187"/>
      <c r="O85" s="187"/>
      <c r="P85" s="187"/>
      <c r="Q85" s="188"/>
      <c r="U85" s="114"/>
      <c r="X85" s="111">
        <f t="shared" si="22"/>
        <v>0</v>
      </c>
    </row>
    <row r="86" spans="2:24" s="111" customFormat="1" ht="12.75">
      <c r="B86" s="148" t="s">
        <v>315</v>
      </c>
      <c r="C86" s="149" t="s">
        <v>684</v>
      </c>
      <c r="D86" s="168" t="s">
        <v>17</v>
      </c>
      <c r="E86" s="171" t="s">
        <v>683</v>
      </c>
      <c r="F86" s="152" t="s">
        <v>228</v>
      </c>
      <c r="G86" s="153"/>
      <c r="H86" s="153">
        <f>(2.9+2.85)*2.1</f>
        <v>12.075000000000001</v>
      </c>
      <c r="I86" s="153">
        <v>0.8</v>
      </c>
      <c r="J86" s="153"/>
      <c r="K86" s="153"/>
      <c r="L86" s="154">
        <f>SUM(G86:K86)</f>
        <v>12.875000000000002</v>
      </c>
      <c r="M86" s="155">
        <f>U86*(1+$L$199/100)*0.25</f>
        <v>67.662425</v>
      </c>
      <c r="N86" s="155">
        <f>U86*(1+$L$199/100)*0.75</f>
        <v>202.987275</v>
      </c>
      <c r="O86" s="155">
        <f>TRUNC(L86*M86,2)</f>
        <v>871.15</v>
      </c>
      <c r="P86" s="155">
        <f>TRUNC(L86*N86,2)</f>
        <v>2613.46</v>
      </c>
      <c r="Q86" s="156">
        <f>SUM(O86:P86)</f>
        <v>3484.61</v>
      </c>
      <c r="U86" s="114">
        <v>213.11</v>
      </c>
      <c r="X86" s="111">
        <f t="shared" si="22"/>
        <v>0.004887500000222644</v>
      </c>
    </row>
    <row r="87" spans="2:24" s="111" customFormat="1" ht="12.75">
      <c r="B87" s="148" t="s">
        <v>316</v>
      </c>
      <c r="C87" s="149" t="s">
        <v>468</v>
      </c>
      <c r="D87" s="168" t="s">
        <v>17</v>
      </c>
      <c r="E87" s="171" t="s">
        <v>682</v>
      </c>
      <c r="F87" s="152" t="s">
        <v>228</v>
      </c>
      <c r="G87" s="153">
        <f>(1.6*2.2)+2.2+2.2+2.2+2.2</f>
        <v>12.32</v>
      </c>
      <c r="H87" s="153">
        <f>0.7*2.1*2</f>
        <v>2.94</v>
      </c>
      <c r="I87" s="153"/>
      <c r="J87" s="153"/>
      <c r="K87" s="153"/>
      <c r="L87" s="154">
        <f>SUM(G87:K87)</f>
        <v>15.26</v>
      </c>
      <c r="M87" s="155">
        <f>U87*(1+$L$199/100)*0.25</f>
        <v>105.17505</v>
      </c>
      <c r="N87" s="155">
        <f>U87*(1+$L$199/100)*0.75</f>
        <v>315.52515</v>
      </c>
      <c r="O87" s="155">
        <f>TRUNC(L87*M87,2)</f>
        <v>1604.97</v>
      </c>
      <c r="P87" s="155">
        <f>TRUNC(L87*N87,2)</f>
        <v>4814.91</v>
      </c>
      <c r="Q87" s="156">
        <f>SUM(O87:P87)</f>
        <v>6419.88</v>
      </c>
      <c r="U87" s="114">
        <v>331.26</v>
      </c>
      <c r="X87" s="111">
        <f t="shared" si="22"/>
        <v>0.005051999999523105</v>
      </c>
    </row>
    <row r="88" spans="2:24" s="111" customFormat="1" ht="12.75">
      <c r="B88" s="148" t="s">
        <v>317</v>
      </c>
      <c r="C88" s="149">
        <v>94559</v>
      </c>
      <c r="D88" s="168" t="s">
        <v>17</v>
      </c>
      <c r="E88" s="171" t="s">
        <v>681</v>
      </c>
      <c r="F88" s="152" t="s">
        <v>228</v>
      </c>
      <c r="G88" s="153">
        <f>(1.4*1*7)+(0.8*0.6*3)</f>
        <v>11.239999999999998</v>
      </c>
      <c r="H88" s="153"/>
      <c r="I88" s="153"/>
      <c r="J88" s="153">
        <f>0.8</f>
        <v>0.8</v>
      </c>
      <c r="K88" s="153"/>
      <c r="L88" s="154">
        <f>SUM(G88:K88)</f>
        <v>12.04</v>
      </c>
      <c r="M88" s="155">
        <f>U88*(1+$L$199/100)*0.25</f>
        <v>187.14720000000003</v>
      </c>
      <c r="N88" s="155">
        <f>U88*(1+$L$199/100)*0.75</f>
        <v>561.4416000000001</v>
      </c>
      <c r="O88" s="155">
        <f>TRUNC(L88*M88,2)</f>
        <v>2253.25</v>
      </c>
      <c r="P88" s="155">
        <f>TRUNC(L88*N88,2)</f>
        <v>6759.75</v>
      </c>
      <c r="Q88" s="156">
        <f>SUM(O88:P88)</f>
        <v>9013</v>
      </c>
      <c r="U88" s="114">
        <v>589.44</v>
      </c>
      <c r="X88" s="111">
        <f t="shared" si="22"/>
        <v>0.009152000000540284</v>
      </c>
    </row>
    <row r="89" spans="2:24" s="111" customFormat="1" ht="22.5">
      <c r="B89" s="148" t="s">
        <v>680</v>
      </c>
      <c r="C89" s="149">
        <v>72122</v>
      </c>
      <c r="D89" s="168" t="s">
        <v>17</v>
      </c>
      <c r="E89" s="171" t="s">
        <v>679</v>
      </c>
      <c r="F89" s="152" t="s">
        <v>228</v>
      </c>
      <c r="G89" s="153">
        <f>G88</f>
        <v>11.239999999999998</v>
      </c>
      <c r="H89" s="153"/>
      <c r="I89" s="153"/>
      <c r="J89" s="153"/>
      <c r="K89" s="153"/>
      <c r="L89" s="154">
        <f>SUM(G89:K89)</f>
        <v>11.239999999999998</v>
      </c>
      <c r="M89" s="155">
        <f>U89*(1+$L$199/100)*0.25</f>
        <v>26.1112</v>
      </c>
      <c r="N89" s="155">
        <f>U89*(1+$L$199/100)*0.75</f>
        <v>78.3336</v>
      </c>
      <c r="O89" s="155">
        <f>TRUNC(L89*M89,2)</f>
        <v>293.48</v>
      </c>
      <c r="P89" s="155">
        <f>TRUNC(L89*N89,2)</f>
        <v>880.46</v>
      </c>
      <c r="Q89" s="156">
        <f>SUM(O89:P89)</f>
        <v>1173.94</v>
      </c>
      <c r="U89" s="114">
        <v>82.24</v>
      </c>
      <c r="X89" s="111">
        <f t="shared" si="22"/>
        <v>0.01955199999974866</v>
      </c>
    </row>
    <row r="90" spans="2:23" s="111" customFormat="1" ht="12.75">
      <c r="B90" s="157"/>
      <c r="C90" s="158"/>
      <c r="D90" s="190"/>
      <c r="E90" s="160" t="s">
        <v>322</v>
      </c>
      <c r="F90" s="183"/>
      <c r="G90" s="174"/>
      <c r="H90" s="174"/>
      <c r="I90" s="174"/>
      <c r="J90" s="174"/>
      <c r="K90" s="174"/>
      <c r="L90" s="161"/>
      <c r="M90" s="161"/>
      <c r="N90" s="161"/>
      <c r="O90" s="162">
        <f>SUM(O86:O89)</f>
        <v>5022.85</v>
      </c>
      <c r="P90" s="162">
        <f>SUM(P86:P89)</f>
        <v>15068.579999999998</v>
      </c>
      <c r="Q90" s="163">
        <f>TRUNC(SUM(Q86:Q89),2)</f>
        <v>20091.43</v>
      </c>
      <c r="U90" s="114"/>
      <c r="W90" s="116">
        <f>Q90</f>
        <v>20091.43</v>
      </c>
    </row>
    <row r="91" spans="2:24" s="111" customFormat="1" ht="12.75">
      <c r="B91" s="164" t="s">
        <v>335</v>
      </c>
      <c r="C91" s="149"/>
      <c r="D91" s="168"/>
      <c r="E91" s="184" t="s">
        <v>678</v>
      </c>
      <c r="F91" s="185"/>
      <c r="G91" s="186"/>
      <c r="H91" s="186"/>
      <c r="I91" s="186"/>
      <c r="J91" s="186"/>
      <c r="K91" s="186"/>
      <c r="L91" s="187"/>
      <c r="M91" s="187"/>
      <c r="N91" s="187"/>
      <c r="O91" s="187"/>
      <c r="P91" s="187"/>
      <c r="Q91" s="188"/>
      <c r="U91" s="114"/>
      <c r="X91" s="111">
        <f t="shared" si="22"/>
        <v>0</v>
      </c>
    </row>
    <row r="92" spans="2:24" s="111" customFormat="1" ht="33.75">
      <c r="B92" s="148" t="s">
        <v>336</v>
      </c>
      <c r="C92" s="149" t="s">
        <v>677</v>
      </c>
      <c r="D92" s="168" t="s">
        <v>17</v>
      </c>
      <c r="E92" s="171" t="s">
        <v>676</v>
      </c>
      <c r="F92" s="198" t="s">
        <v>33</v>
      </c>
      <c r="G92" s="153">
        <v>21</v>
      </c>
      <c r="H92" s="153">
        <v>28</v>
      </c>
      <c r="I92" s="153"/>
      <c r="J92" s="153"/>
      <c r="K92" s="153"/>
      <c r="L92" s="154">
        <f aca="true" t="shared" si="23" ref="L92:L104">SUM(G92:K92)</f>
        <v>49</v>
      </c>
      <c r="M92" s="155">
        <f aca="true" t="shared" si="24" ref="M92:M104">U92*(1+$L$199/100)*0.25</f>
        <v>29.77515</v>
      </c>
      <c r="N92" s="155">
        <f aca="true" t="shared" si="25" ref="N92:N104">U92*(1+$L$199/100)*0.75</f>
        <v>89.32545</v>
      </c>
      <c r="O92" s="155">
        <f aca="true" t="shared" si="26" ref="O92:O104">TRUNC(L92*M92,2)</f>
        <v>1458.98</v>
      </c>
      <c r="P92" s="155">
        <f aca="true" t="shared" si="27" ref="P92:P104">TRUNC(L92*N92,2)</f>
        <v>4376.94</v>
      </c>
      <c r="Q92" s="156">
        <f aca="true" t="shared" si="28" ref="Q92:Q104">SUM(O92:P92)</f>
        <v>5835.92</v>
      </c>
      <c r="U92" s="114">
        <v>93.78</v>
      </c>
      <c r="X92" s="111">
        <f t="shared" si="22"/>
        <v>0.009399999999914144</v>
      </c>
    </row>
    <row r="93" spans="2:24" s="111" customFormat="1" ht="33.75">
      <c r="B93" s="148" t="s">
        <v>337</v>
      </c>
      <c r="C93" s="149">
        <v>91953</v>
      </c>
      <c r="D93" s="168" t="s">
        <v>17</v>
      </c>
      <c r="E93" s="199" t="s">
        <v>675</v>
      </c>
      <c r="F93" s="198" t="s">
        <v>33</v>
      </c>
      <c r="G93" s="153">
        <v>5</v>
      </c>
      <c r="H93" s="153"/>
      <c r="I93" s="153"/>
      <c r="J93" s="153"/>
      <c r="K93" s="153"/>
      <c r="L93" s="154">
        <f t="shared" si="23"/>
        <v>5</v>
      </c>
      <c r="M93" s="155">
        <f t="shared" si="24"/>
        <v>5.553075</v>
      </c>
      <c r="N93" s="155">
        <f t="shared" si="25"/>
        <v>16.659225</v>
      </c>
      <c r="O93" s="155">
        <f t="shared" si="26"/>
        <v>27.76</v>
      </c>
      <c r="P93" s="155">
        <f t="shared" si="27"/>
        <v>83.29</v>
      </c>
      <c r="Q93" s="156">
        <f t="shared" si="28"/>
        <v>111.05000000000001</v>
      </c>
      <c r="U93" s="114">
        <v>17.49</v>
      </c>
      <c r="X93" s="111">
        <f t="shared" si="22"/>
        <v>0.011499999999983856</v>
      </c>
    </row>
    <row r="94" spans="2:24" s="111" customFormat="1" ht="33.75">
      <c r="B94" s="148" t="s">
        <v>338</v>
      </c>
      <c r="C94" s="149">
        <v>91969</v>
      </c>
      <c r="D94" s="168" t="s">
        <v>17</v>
      </c>
      <c r="E94" s="199" t="s">
        <v>674</v>
      </c>
      <c r="F94" s="198" t="s">
        <v>33</v>
      </c>
      <c r="G94" s="153">
        <v>2</v>
      </c>
      <c r="H94" s="153">
        <v>1</v>
      </c>
      <c r="I94" s="153"/>
      <c r="J94" s="153"/>
      <c r="K94" s="153"/>
      <c r="L94" s="154">
        <f t="shared" si="23"/>
        <v>3</v>
      </c>
      <c r="M94" s="155">
        <f t="shared" si="24"/>
        <v>15.995650000000001</v>
      </c>
      <c r="N94" s="155">
        <f t="shared" si="25"/>
        <v>47.98695000000001</v>
      </c>
      <c r="O94" s="155">
        <f t="shared" si="26"/>
        <v>47.98</v>
      </c>
      <c r="P94" s="155">
        <f t="shared" si="27"/>
        <v>143.96</v>
      </c>
      <c r="Q94" s="156">
        <f t="shared" si="28"/>
        <v>191.94</v>
      </c>
      <c r="U94" s="114">
        <v>50.38</v>
      </c>
      <c r="X94" s="111">
        <f t="shared" si="22"/>
        <v>0.0078000000000315595</v>
      </c>
    </row>
    <row r="95" spans="2:24" s="111" customFormat="1" ht="33.75">
      <c r="B95" s="148" t="s">
        <v>342</v>
      </c>
      <c r="C95" s="149">
        <v>91996</v>
      </c>
      <c r="D95" s="168" t="s">
        <v>17</v>
      </c>
      <c r="E95" s="199" t="s">
        <v>673</v>
      </c>
      <c r="F95" s="198" t="s">
        <v>33</v>
      </c>
      <c r="G95" s="153">
        <v>12</v>
      </c>
      <c r="H95" s="153">
        <v>6</v>
      </c>
      <c r="I95" s="153"/>
      <c r="J95" s="153"/>
      <c r="K95" s="153"/>
      <c r="L95" s="154">
        <f t="shared" si="23"/>
        <v>18</v>
      </c>
      <c r="M95" s="155">
        <f t="shared" si="24"/>
        <v>6.64845</v>
      </c>
      <c r="N95" s="155">
        <f t="shared" si="25"/>
        <v>19.94535</v>
      </c>
      <c r="O95" s="155">
        <f t="shared" si="26"/>
        <v>119.67</v>
      </c>
      <c r="P95" s="155">
        <f t="shared" si="27"/>
        <v>359.01</v>
      </c>
      <c r="Q95" s="156">
        <f t="shared" si="28"/>
        <v>478.68</v>
      </c>
      <c r="U95" s="114">
        <v>20.94</v>
      </c>
      <c r="X95" s="111">
        <f t="shared" si="22"/>
        <v>0.008399999999994634</v>
      </c>
    </row>
    <row r="96" spans="2:24" s="111" customFormat="1" ht="45">
      <c r="B96" s="148" t="s">
        <v>672</v>
      </c>
      <c r="C96" s="149" t="s">
        <v>671</v>
      </c>
      <c r="D96" s="168" t="s">
        <v>17</v>
      </c>
      <c r="E96" s="199" t="s">
        <v>670</v>
      </c>
      <c r="F96" s="198" t="s">
        <v>33</v>
      </c>
      <c r="G96" s="153">
        <v>1</v>
      </c>
      <c r="H96" s="153">
        <v>1</v>
      </c>
      <c r="I96" s="153"/>
      <c r="J96" s="153"/>
      <c r="K96" s="153"/>
      <c r="L96" s="154">
        <f t="shared" si="23"/>
        <v>2</v>
      </c>
      <c r="M96" s="155">
        <f t="shared" si="24"/>
        <v>16.811625</v>
      </c>
      <c r="N96" s="155">
        <f t="shared" si="25"/>
        <v>50.434875</v>
      </c>
      <c r="O96" s="155">
        <f t="shared" si="26"/>
        <v>33.62</v>
      </c>
      <c r="P96" s="155">
        <f t="shared" si="27"/>
        <v>100.86</v>
      </c>
      <c r="Q96" s="156">
        <f t="shared" si="28"/>
        <v>134.48</v>
      </c>
      <c r="U96" s="114">
        <v>52.95</v>
      </c>
      <c r="X96" s="111">
        <f t="shared" si="22"/>
        <v>0.01300000000000523</v>
      </c>
    </row>
    <row r="97" spans="2:24" s="111" customFormat="1" ht="33.75">
      <c r="B97" s="148" t="s">
        <v>669</v>
      </c>
      <c r="C97" s="149" t="s">
        <v>448</v>
      </c>
      <c r="D97" s="168" t="s">
        <v>17</v>
      </c>
      <c r="E97" s="199" t="s">
        <v>668</v>
      </c>
      <c r="F97" s="198" t="s">
        <v>33</v>
      </c>
      <c r="G97" s="153">
        <v>2</v>
      </c>
      <c r="H97" s="153">
        <v>1</v>
      </c>
      <c r="I97" s="153"/>
      <c r="J97" s="153"/>
      <c r="K97" s="153"/>
      <c r="L97" s="154">
        <f t="shared" si="23"/>
        <v>3</v>
      </c>
      <c r="M97" s="155">
        <f t="shared" si="24"/>
        <v>3.9242999999999997</v>
      </c>
      <c r="N97" s="155">
        <f t="shared" si="25"/>
        <v>11.7729</v>
      </c>
      <c r="O97" s="155">
        <f t="shared" si="26"/>
        <v>11.77</v>
      </c>
      <c r="P97" s="155">
        <f t="shared" si="27"/>
        <v>35.31</v>
      </c>
      <c r="Q97" s="156">
        <f t="shared" si="28"/>
        <v>47.08</v>
      </c>
      <c r="U97" s="114">
        <v>12.36</v>
      </c>
      <c r="X97" s="111">
        <f t="shared" si="22"/>
        <v>0.011600000000001387</v>
      </c>
    </row>
    <row r="98" spans="2:24" s="111" customFormat="1" ht="33.75">
      <c r="B98" s="148" t="s">
        <v>667</v>
      </c>
      <c r="C98" s="149">
        <v>91926</v>
      </c>
      <c r="D98" s="168" t="s">
        <v>17</v>
      </c>
      <c r="E98" s="199" t="s">
        <v>666</v>
      </c>
      <c r="F98" s="152" t="s">
        <v>126</v>
      </c>
      <c r="G98" s="153">
        <v>503.25</v>
      </c>
      <c r="H98" s="153">
        <v>651.8</v>
      </c>
      <c r="I98" s="153"/>
      <c r="J98" s="153"/>
      <c r="K98" s="153"/>
      <c r="L98" s="154">
        <f t="shared" si="23"/>
        <v>1155.05</v>
      </c>
      <c r="M98" s="155">
        <f t="shared" si="24"/>
        <v>0.898525</v>
      </c>
      <c r="N98" s="155">
        <f t="shared" si="25"/>
        <v>2.695575</v>
      </c>
      <c r="O98" s="155">
        <f t="shared" si="26"/>
        <v>1037.84</v>
      </c>
      <c r="P98" s="155">
        <f t="shared" si="27"/>
        <v>3113.52</v>
      </c>
      <c r="Q98" s="156">
        <f t="shared" si="28"/>
        <v>4151.36</v>
      </c>
      <c r="U98" s="114">
        <v>2.83</v>
      </c>
      <c r="X98" s="111">
        <f t="shared" si="22"/>
        <v>0.005205000000387372</v>
      </c>
    </row>
    <row r="99" spans="2:24" s="111" customFormat="1" ht="33.75">
      <c r="B99" s="148" t="s">
        <v>665</v>
      </c>
      <c r="C99" s="149">
        <v>92981</v>
      </c>
      <c r="D99" s="200" t="s">
        <v>17</v>
      </c>
      <c r="E99" s="199" t="s">
        <v>664</v>
      </c>
      <c r="F99" s="152" t="s">
        <v>126</v>
      </c>
      <c r="G99" s="153"/>
      <c r="H99" s="153"/>
      <c r="I99" s="153"/>
      <c r="J99" s="153"/>
      <c r="K99" s="153">
        <v>210</v>
      </c>
      <c r="L99" s="154">
        <f t="shared" si="23"/>
        <v>210</v>
      </c>
      <c r="M99" s="155">
        <f t="shared" si="24"/>
        <v>3.152775</v>
      </c>
      <c r="N99" s="155">
        <f t="shared" si="25"/>
        <v>9.458325</v>
      </c>
      <c r="O99" s="155">
        <f t="shared" si="26"/>
        <v>662.08</v>
      </c>
      <c r="P99" s="155">
        <f t="shared" si="27"/>
        <v>1986.24</v>
      </c>
      <c r="Q99" s="156">
        <f t="shared" si="28"/>
        <v>2648.32</v>
      </c>
      <c r="U99" s="114">
        <v>9.93</v>
      </c>
      <c r="X99" s="111">
        <f t="shared" si="22"/>
        <v>0.010999999999967258</v>
      </c>
    </row>
    <row r="100" spans="2:24" s="111" customFormat="1" ht="33.75">
      <c r="B100" s="148" t="s">
        <v>663</v>
      </c>
      <c r="C100" s="149">
        <v>91871</v>
      </c>
      <c r="D100" s="168" t="s">
        <v>17</v>
      </c>
      <c r="E100" s="199" t="s">
        <v>662</v>
      </c>
      <c r="F100" s="152" t="s">
        <v>132</v>
      </c>
      <c r="G100" s="153">
        <v>155.95</v>
      </c>
      <c r="H100" s="153">
        <v>175.1</v>
      </c>
      <c r="I100" s="153"/>
      <c r="J100" s="153"/>
      <c r="K100" s="153"/>
      <c r="L100" s="154">
        <f t="shared" si="23"/>
        <v>331.04999999999995</v>
      </c>
      <c r="M100" s="155">
        <f t="shared" si="24"/>
        <v>2.48285</v>
      </c>
      <c r="N100" s="155">
        <f t="shared" si="25"/>
        <v>7.44855</v>
      </c>
      <c r="O100" s="155">
        <f t="shared" si="26"/>
        <v>821.94</v>
      </c>
      <c r="P100" s="155">
        <f t="shared" si="27"/>
        <v>2465.84</v>
      </c>
      <c r="Q100" s="156">
        <f t="shared" si="28"/>
        <v>3287.78</v>
      </c>
      <c r="U100" s="114">
        <v>7.82</v>
      </c>
      <c r="X100" s="111">
        <f t="shared" si="22"/>
        <v>0.0099699999996119</v>
      </c>
    </row>
    <row r="101" spans="2:24" s="111" customFormat="1" ht="22.5">
      <c r="B101" s="148" t="s">
        <v>661</v>
      </c>
      <c r="C101" s="149">
        <v>95805</v>
      </c>
      <c r="D101" s="168" t="s">
        <v>17</v>
      </c>
      <c r="E101" s="199" t="s">
        <v>660</v>
      </c>
      <c r="F101" s="198" t="s">
        <v>33</v>
      </c>
      <c r="G101" s="153">
        <v>85</v>
      </c>
      <c r="H101" s="153">
        <v>50</v>
      </c>
      <c r="I101" s="153"/>
      <c r="J101" s="153"/>
      <c r="K101" s="153"/>
      <c r="L101" s="154">
        <f t="shared" si="23"/>
        <v>135</v>
      </c>
      <c r="M101" s="155">
        <f t="shared" si="24"/>
        <v>4.975225</v>
      </c>
      <c r="N101" s="155">
        <f t="shared" si="25"/>
        <v>14.925675</v>
      </c>
      <c r="O101" s="155">
        <f t="shared" si="26"/>
        <v>671.65</v>
      </c>
      <c r="P101" s="155">
        <f t="shared" si="27"/>
        <v>2014.96</v>
      </c>
      <c r="Q101" s="156">
        <f t="shared" si="28"/>
        <v>2686.61</v>
      </c>
      <c r="U101" s="114">
        <v>15.67</v>
      </c>
      <c r="X101" s="111">
        <f t="shared" si="22"/>
        <v>0.011500000000069122</v>
      </c>
    </row>
    <row r="102" spans="2:24" s="111" customFormat="1" ht="56.25">
      <c r="B102" s="148" t="s">
        <v>659</v>
      </c>
      <c r="C102" s="149" t="s">
        <v>489</v>
      </c>
      <c r="D102" s="168" t="s">
        <v>17</v>
      </c>
      <c r="E102" s="199" t="s">
        <v>658</v>
      </c>
      <c r="F102" s="198" t="s">
        <v>33</v>
      </c>
      <c r="G102" s="153"/>
      <c r="H102" s="153"/>
      <c r="I102" s="153"/>
      <c r="J102" s="153"/>
      <c r="K102" s="153">
        <v>3</v>
      </c>
      <c r="L102" s="154">
        <f t="shared" si="23"/>
        <v>3</v>
      </c>
      <c r="M102" s="155">
        <f t="shared" si="24"/>
        <v>42.929175</v>
      </c>
      <c r="N102" s="155">
        <f t="shared" si="25"/>
        <v>128.78752500000002</v>
      </c>
      <c r="O102" s="155">
        <f t="shared" si="26"/>
        <v>128.78</v>
      </c>
      <c r="P102" s="155">
        <f t="shared" si="27"/>
        <v>386.36</v>
      </c>
      <c r="Q102" s="156">
        <f t="shared" si="28"/>
        <v>515.14</v>
      </c>
      <c r="U102" s="114">
        <v>135.21</v>
      </c>
      <c r="X102" s="111">
        <f t="shared" si="22"/>
        <v>0.01010000000007949</v>
      </c>
    </row>
    <row r="103" spans="2:24" s="111" customFormat="1" ht="22.5">
      <c r="B103" s="148" t="s">
        <v>657</v>
      </c>
      <c r="C103" s="149">
        <v>95748</v>
      </c>
      <c r="D103" s="168" t="s">
        <v>17</v>
      </c>
      <c r="E103" s="199" t="s">
        <v>656</v>
      </c>
      <c r="F103" s="152" t="s">
        <v>126</v>
      </c>
      <c r="G103" s="153"/>
      <c r="H103" s="153"/>
      <c r="I103" s="153"/>
      <c r="J103" s="153"/>
      <c r="K103" s="153">
        <v>70</v>
      </c>
      <c r="L103" s="154">
        <f t="shared" si="23"/>
        <v>70</v>
      </c>
      <c r="M103" s="155">
        <f t="shared" si="24"/>
        <v>8.64235</v>
      </c>
      <c r="N103" s="155">
        <f t="shared" si="25"/>
        <v>25.92705</v>
      </c>
      <c r="O103" s="155">
        <f t="shared" si="26"/>
        <v>604.96</v>
      </c>
      <c r="P103" s="155">
        <f t="shared" si="27"/>
        <v>1814.89</v>
      </c>
      <c r="Q103" s="156">
        <f t="shared" si="28"/>
        <v>2419.8500000000004</v>
      </c>
      <c r="U103" s="114">
        <v>27.22</v>
      </c>
      <c r="X103" s="111">
        <f t="shared" si="22"/>
        <v>0.007999999999810825</v>
      </c>
    </row>
    <row r="104" spans="2:24" s="111" customFormat="1" ht="33.75">
      <c r="B104" s="148" t="s">
        <v>655</v>
      </c>
      <c r="C104" s="149">
        <v>9540</v>
      </c>
      <c r="D104" s="168" t="s">
        <v>17</v>
      </c>
      <c r="E104" s="199" t="s">
        <v>654</v>
      </c>
      <c r="F104" s="198" t="s">
        <v>33</v>
      </c>
      <c r="G104" s="153">
        <v>1</v>
      </c>
      <c r="H104" s="153"/>
      <c r="I104" s="153"/>
      <c r="J104" s="153"/>
      <c r="K104" s="153"/>
      <c r="L104" s="154">
        <f t="shared" si="23"/>
        <v>1</v>
      </c>
      <c r="M104" s="155">
        <f t="shared" si="24"/>
        <v>279.1333</v>
      </c>
      <c r="N104" s="155">
        <f t="shared" si="25"/>
        <v>837.3999000000001</v>
      </c>
      <c r="O104" s="155">
        <f t="shared" si="26"/>
        <v>279.13</v>
      </c>
      <c r="P104" s="155">
        <f t="shared" si="27"/>
        <v>837.39</v>
      </c>
      <c r="Q104" s="156">
        <f t="shared" si="28"/>
        <v>1116.52</v>
      </c>
      <c r="U104" s="114">
        <v>879.16</v>
      </c>
      <c r="X104" s="111">
        <f t="shared" si="22"/>
        <v>0.013200000000097134</v>
      </c>
    </row>
    <row r="105" spans="2:23" s="111" customFormat="1" ht="12.75">
      <c r="B105" s="157"/>
      <c r="C105" s="158"/>
      <c r="D105" s="190"/>
      <c r="E105" s="160" t="s">
        <v>374</v>
      </c>
      <c r="F105" s="183"/>
      <c r="G105" s="174"/>
      <c r="H105" s="174"/>
      <c r="I105" s="174"/>
      <c r="J105" s="174"/>
      <c r="K105" s="174"/>
      <c r="L105" s="161"/>
      <c r="M105" s="161"/>
      <c r="N105" s="161"/>
      <c r="O105" s="162">
        <f>SUM(O92:O104)</f>
        <v>5906.159999999999</v>
      </c>
      <c r="P105" s="162">
        <f>SUM(P92:P104)</f>
        <v>17718.57</v>
      </c>
      <c r="Q105" s="163">
        <f>TRUNC(SUM(Q92:Q104),2)</f>
        <v>23624.73</v>
      </c>
      <c r="U105" s="114"/>
      <c r="W105" s="116">
        <f>Q105</f>
        <v>23624.73</v>
      </c>
    </row>
    <row r="106" spans="2:24" s="111" customFormat="1" ht="12.75">
      <c r="B106" s="164" t="s">
        <v>368</v>
      </c>
      <c r="C106" s="149"/>
      <c r="D106" s="168"/>
      <c r="E106" s="201" t="s">
        <v>653</v>
      </c>
      <c r="F106" s="202"/>
      <c r="G106" s="195"/>
      <c r="H106" s="195"/>
      <c r="I106" s="195"/>
      <c r="J106" s="195"/>
      <c r="K106" s="195"/>
      <c r="L106" s="203"/>
      <c r="M106" s="203"/>
      <c r="N106" s="203"/>
      <c r="O106" s="203"/>
      <c r="P106" s="203"/>
      <c r="Q106" s="204"/>
      <c r="U106" s="114"/>
      <c r="X106" s="111">
        <f t="shared" si="22"/>
        <v>0</v>
      </c>
    </row>
    <row r="107" spans="2:24" s="111" customFormat="1" ht="45">
      <c r="B107" s="148" t="s">
        <v>369</v>
      </c>
      <c r="C107" s="149">
        <v>89957</v>
      </c>
      <c r="D107" s="205" t="s">
        <v>17</v>
      </c>
      <c r="E107" s="206" t="s">
        <v>652</v>
      </c>
      <c r="F107" s="198" t="s">
        <v>33</v>
      </c>
      <c r="G107" s="153">
        <v>6</v>
      </c>
      <c r="H107" s="153"/>
      <c r="I107" s="153"/>
      <c r="J107" s="153"/>
      <c r="K107" s="153"/>
      <c r="L107" s="154">
        <f aca="true" t="shared" si="29" ref="L107:L125">SUM(G107:K107)</f>
        <v>6</v>
      </c>
      <c r="M107" s="155">
        <f aca="true" t="shared" si="30" ref="M107:M125">U107*(1+$L$199/100)*0.25</f>
        <v>31.118175</v>
      </c>
      <c r="N107" s="155">
        <f aca="true" t="shared" si="31" ref="N107:N125">U107*(1+$L$199/100)*0.75</f>
        <v>93.354525</v>
      </c>
      <c r="O107" s="155">
        <f aca="true" t="shared" si="32" ref="O107:O125">TRUNC(L107*M107,2)</f>
        <v>186.7</v>
      </c>
      <c r="P107" s="155">
        <f aca="true" t="shared" si="33" ref="P107:P125">TRUNC(L107*N107,2)</f>
        <v>560.12</v>
      </c>
      <c r="Q107" s="156">
        <f aca="true" t="shared" si="34" ref="Q107:Q125">SUM(O107:P107)</f>
        <v>746.8199999999999</v>
      </c>
      <c r="U107" s="114">
        <v>98.01</v>
      </c>
      <c r="X107" s="111">
        <f t="shared" si="22"/>
        <v>0.016200000000026193</v>
      </c>
    </row>
    <row r="108" spans="2:24" s="111" customFormat="1" ht="33.75">
      <c r="B108" s="148" t="s">
        <v>370</v>
      </c>
      <c r="C108" s="149" t="s">
        <v>651</v>
      </c>
      <c r="D108" s="179" t="s">
        <v>530</v>
      </c>
      <c r="E108" s="207" t="s">
        <v>650</v>
      </c>
      <c r="F108" s="198" t="s">
        <v>33</v>
      </c>
      <c r="G108" s="153">
        <v>5</v>
      </c>
      <c r="H108" s="153"/>
      <c r="I108" s="153"/>
      <c r="J108" s="153"/>
      <c r="K108" s="153"/>
      <c r="L108" s="154">
        <f t="shared" si="29"/>
        <v>5</v>
      </c>
      <c r="M108" s="155">
        <f t="shared" si="30"/>
        <v>31.549975000000003</v>
      </c>
      <c r="N108" s="155">
        <f t="shared" si="31"/>
        <v>94.64992500000001</v>
      </c>
      <c r="O108" s="155">
        <f t="shared" si="32"/>
        <v>157.74</v>
      </c>
      <c r="P108" s="155">
        <f t="shared" si="33"/>
        <v>473.24</v>
      </c>
      <c r="Q108" s="156">
        <f t="shared" si="34"/>
        <v>630.98</v>
      </c>
      <c r="U108" s="114">
        <v>99.37</v>
      </c>
      <c r="X108" s="111">
        <f t="shared" si="22"/>
        <v>0.01950000000010732</v>
      </c>
    </row>
    <row r="109" spans="2:24" s="111" customFormat="1" ht="33.75">
      <c r="B109" s="148" t="s">
        <v>371</v>
      </c>
      <c r="C109" s="149">
        <v>86902</v>
      </c>
      <c r="D109" s="168" t="s">
        <v>17</v>
      </c>
      <c r="E109" s="207" t="s">
        <v>649</v>
      </c>
      <c r="F109" s="198" t="s">
        <v>33</v>
      </c>
      <c r="G109" s="153">
        <v>2</v>
      </c>
      <c r="H109" s="153"/>
      <c r="I109" s="153"/>
      <c r="J109" s="153"/>
      <c r="K109" s="153"/>
      <c r="L109" s="154">
        <f t="shared" si="29"/>
        <v>2</v>
      </c>
      <c r="M109" s="155">
        <f t="shared" si="30"/>
        <v>51.838225</v>
      </c>
      <c r="N109" s="155">
        <f t="shared" si="31"/>
        <v>155.514675</v>
      </c>
      <c r="O109" s="155">
        <f t="shared" si="32"/>
        <v>103.67</v>
      </c>
      <c r="P109" s="155">
        <f t="shared" si="33"/>
        <v>311.02</v>
      </c>
      <c r="Q109" s="156">
        <f t="shared" si="34"/>
        <v>414.69</v>
      </c>
      <c r="U109" s="114">
        <v>163.27</v>
      </c>
      <c r="X109" s="111">
        <f t="shared" si="22"/>
        <v>0.015800000000012915</v>
      </c>
    </row>
    <row r="110" spans="2:24" s="111" customFormat="1" ht="45">
      <c r="B110" s="148" t="s">
        <v>372</v>
      </c>
      <c r="C110" s="149">
        <v>86931</v>
      </c>
      <c r="D110" s="168" t="s">
        <v>17</v>
      </c>
      <c r="E110" s="207" t="s">
        <v>648</v>
      </c>
      <c r="F110" s="198" t="s">
        <v>33</v>
      </c>
      <c r="G110" s="153">
        <v>2</v>
      </c>
      <c r="H110" s="153"/>
      <c r="I110" s="153"/>
      <c r="J110" s="153"/>
      <c r="K110" s="153"/>
      <c r="L110" s="154">
        <f t="shared" si="29"/>
        <v>2</v>
      </c>
      <c r="M110" s="155">
        <f t="shared" si="30"/>
        <v>99.577525</v>
      </c>
      <c r="N110" s="155">
        <f t="shared" si="31"/>
        <v>298.732575</v>
      </c>
      <c r="O110" s="155">
        <f t="shared" si="32"/>
        <v>199.15</v>
      </c>
      <c r="P110" s="155">
        <f t="shared" si="33"/>
        <v>597.46</v>
      </c>
      <c r="Q110" s="156">
        <f t="shared" si="34"/>
        <v>796.61</v>
      </c>
      <c r="U110" s="114">
        <v>313.63</v>
      </c>
      <c r="X110" s="111">
        <f t="shared" si="22"/>
        <v>0.010199999999940701</v>
      </c>
    </row>
    <row r="111" spans="2:24" s="111" customFormat="1" ht="56.25">
      <c r="B111" s="148" t="s">
        <v>373</v>
      </c>
      <c r="C111" s="149" t="s">
        <v>489</v>
      </c>
      <c r="D111" s="168" t="s">
        <v>17</v>
      </c>
      <c r="E111" s="207" t="s">
        <v>647</v>
      </c>
      <c r="F111" s="198" t="s">
        <v>33</v>
      </c>
      <c r="G111" s="153">
        <v>1</v>
      </c>
      <c r="H111" s="153"/>
      <c r="I111" s="153"/>
      <c r="J111" s="153"/>
      <c r="K111" s="153"/>
      <c r="L111" s="154">
        <f t="shared" si="29"/>
        <v>1</v>
      </c>
      <c r="M111" s="155">
        <f t="shared" si="30"/>
        <v>42.929175</v>
      </c>
      <c r="N111" s="155">
        <f t="shared" si="31"/>
        <v>128.78752500000002</v>
      </c>
      <c r="O111" s="155">
        <f t="shared" si="32"/>
        <v>42.92</v>
      </c>
      <c r="P111" s="155">
        <f t="shared" si="33"/>
        <v>128.78</v>
      </c>
      <c r="Q111" s="156">
        <f t="shared" si="34"/>
        <v>171.7</v>
      </c>
      <c r="U111" s="114">
        <v>135.21</v>
      </c>
      <c r="X111" s="111">
        <f t="shared" si="22"/>
        <v>0.01670000000001437</v>
      </c>
    </row>
    <row r="112" spans="2:24" s="111" customFormat="1" ht="22.5">
      <c r="B112" s="148" t="s">
        <v>646</v>
      </c>
      <c r="C112" s="149">
        <v>86913</v>
      </c>
      <c r="D112" s="168" t="s">
        <v>17</v>
      </c>
      <c r="E112" s="207" t="s">
        <v>645</v>
      </c>
      <c r="F112" s="198" t="s">
        <v>33</v>
      </c>
      <c r="G112" s="153">
        <v>3</v>
      </c>
      <c r="H112" s="153"/>
      <c r="I112" s="153"/>
      <c r="J112" s="153"/>
      <c r="K112" s="153"/>
      <c r="L112" s="154">
        <f t="shared" si="29"/>
        <v>3</v>
      </c>
      <c r="M112" s="155">
        <f t="shared" si="30"/>
        <v>6.740525</v>
      </c>
      <c r="N112" s="155">
        <f t="shared" si="31"/>
        <v>20.221575</v>
      </c>
      <c r="O112" s="155">
        <f t="shared" si="32"/>
        <v>20.22</v>
      </c>
      <c r="P112" s="155">
        <f t="shared" si="33"/>
        <v>60.66</v>
      </c>
      <c r="Q112" s="156">
        <f t="shared" si="34"/>
        <v>80.88</v>
      </c>
      <c r="U112" s="114">
        <v>21.23</v>
      </c>
      <c r="X112" s="111">
        <f t="shared" si="22"/>
        <v>0.006300000000010186</v>
      </c>
    </row>
    <row r="113" spans="2:24" s="111" customFormat="1" ht="33.75">
      <c r="B113" s="148" t="s">
        <v>644</v>
      </c>
      <c r="C113" s="149">
        <v>86894</v>
      </c>
      <c r="D113" s="168" t="s">
        <v>17</v>
      </c>
      <c r="E113" s="207" t="s">
        <v>643</v>
      </c>
      <c r="F113" s="198" t="s">
        <v>33</v>
      </c>
      <c r="G113" s="153">
        <v>1</v>
      </c>
      <c r="H113" s="153"/>
      <c r="I113" s="153"/>
      <c r="J113" s="153"/>
      <c r="K113" s="153"/>
      <c r="L113" s="154">
        <f t="shared" si="29"/>
        <v>1</v>
      </c>
      <c r="M113" s="155">
        <f t="shared" si="30"/>
        <v>69.88492500000001</v>
      </c>
      <c r="N113" s="155">
        <f t="shared" si="31"/>
        <v>209.65477500000003</v>
      </c>
      <c r="O113" s="155">
        <f t="shared" si="32"/>
        <v>69.88</v>
      </c>
      <c r="P113" s="155">
        <f t="shared" si="33"/>
        <v>209.65</v>
      </c>
      <c r="Q113" s="156">
        <f t="shared" si="34"/>
        <v>279.53</v>
      </c>
      <c r="U113" s="114">
        <v>220.11</v>
      </c>
      <c r="X113" s="111">
        <f t="shared" si="22"/>
        <v>0.009700000000066211</v>
      </c>
    </row>
    <row r="114" spans="2:24" s="111" customFormat="1" ht="22.5">
      <c r="B114" s="148" t="s">
        <v>642</v>
      </c>
      <c r="C114" s="149" t="s">
        <v>482</v>
      </c>
      <c r="D114" s="168" t="s">
        <v>17</v>
      </c>
      <c r="E114" s="207" t="s">
        <v>641</v>
      </c>
      <c r="F114" s="198" t="s">
        <v>33</v>
      </c>
      <c r="G114" s="153">
        <v>1</v>
      </c>
      <c r="H114" s="153"/>
      <c r="I114" s="153"/>
      <c r="J114" s="153"/>
      <c r="K114" s="153"/>
      <c r="L114" s="154">
        <f t="shared" si="29"/>
        <v>1</v>
      </c>
      <c r="M114" s="155">
        <f t="shared" si="30"/>
        <v>44.2722</v>
      </c>
      <c r="N114" s="155">
        <f t="shared" si="31"/>
        <v>132.8166</v>
      </c>
      <c r="O114" s="155">
        <f t="shared" si="32"/>
        <v>44.27</v>
      </c>
      <c r="P114" s="155">
        <f t="shared" si="33"/>
        <v>132.81</v>
      </c>
      <c r="Q114" s="156">
        <f t="shared" si="34"/>
        <v>177.08</v>
      </c>
      <c r="U114" s="114">
        <v>139.44</v>
      </c>
      <c r="X114" s="111">
        <f t="shared" si="22"/>
        <v>0.008799999999979491</v>
      </c>
    </row>
    <row r="115" spans="2:24" s="111" customFormat="1" ht="45">
      <c r="B115" s="148" t="s">
        <v>640</v>
      </c>
      <c r="C115" s="149">
        <v>95463</v>
      </c>
      <c r="D115" s="168" t="s">
        <v>17</v>
      </c>
      <c r="E115" s="207" t="s">
        <v>639</v>
      </c>
      <c r="F115" s="198" t="s">
        <v>33</v>
      </c>
      <c r="G115" s="153">
        <v>1</v>
      </c>
      <c r="H115" s="153"/>
      <c r="I115" s="153"/>
      <c r="J115" s="153"/>
      <c r="K115" s="153"/>
      <c r="L115" s="154">
        <f t="shared" si="29"/>
        <v>1</v>
      </c>
      <c r="M115" s="155">
        <f t="shared" si="30"/>
        <v>437.5277</v>
      </c>
      <c r="N115" s="155">
        <f t="shared" si="31"/>
        <v>1312.5830999999998</v>
      </c>
      <c r="O115" s="155">
        <f t="shared" si="32"/>
        <v>437.52</v>
      </c>
      <c r="P115" s="155">
        <f t="shared" si="33"/>
        <v>1312.58</v>
      </c>
      <c r="Q115" s="156">
        <f t="shared" si="34"/>
        <v>1750.1</v>
      </c>
      <c r="U115" s="114">
        <v>1378.04</v>
      </c>
      <c r="X115" s="111">
        <f t="shared" si="22"/>
        <v>0.010800000000017462</v>
      </c>
    </row>
    <row r="116" spans="2:24" s="111" customFormat="1" ht="22.5">
      <c r="B116" s="148" t="s">
        <v>638</v>
      </c>
      <c r="C116" s="149" t="s">
        <v>478</v>
      </c>
      <c r="D116" s="168" t="s">
        <v>17</v>
      </c>
      <c r="E116" s="207" t="s">
        <v>637</v>
      </c>
      <c r="F116" s="198" t="s">
        <v>33</v>
      </c>
      <c r="G116" s="153">
        <v>1</v>
      </c>
      <c r="H116" s="153"/>
      <c r="I116" s="153"/>
      <c r="J116" s="153"/>
      <c r="K116" s="153"/>
      <c r="L116" s="154">
        <f t="shared" si="29"/>
        <v>1</v>
      </c>
      <c r="M116" s="155">
        <f t="shared" si="30"/>
        <v>478.266125</v>
      </c>
      <c r="N116" s="155">
        <f t="shared" si="31"/>
        <v>1434.7983749999999</v>
      </c>
      <c r="O116" s="155">
        <f t="shared" si="32"/>
        <v>478.26</v>
      </c>
      <c r="P116" s="155">
        <f t="shared" si="33"/>
        <v>1434.79</v>
      </c>
      <c r="Q116" s="156">
        <f t="shared" si="34"/>
        <v>1913.05</v>
      </c>
      <c r="U116" s="114">
        <v>1506.35</v>
      </c>
      <c r="X116" s="111">
        <f t="shared" si="22"/>
        <v>0.014499999999998181</v>
      </c>
    </row>
    <row r="117" spans="2:24" s="111" customFormat="1" ht="33.75">
      <c r="B117" s="148" t="s">
        <v>636</v>
      </c>
      <c r="C117" s="149" t="s">
        <v>476</v>
      </c>
      <c r="D117" s="179" t="s">
        <v>530</v>
      </c>
      <c r="E117" s="207" t="s">
        <v>635</v>
      </c>
      <c r="F117" s="152" t="s">
        <v>132</v>
      </c>
      <c r="G117" s="153">
        <v>18</v>
      </c>
      <c r="H117" s="153"/>
      <c r="I117" s="153"/>
      <c r="J117" s="153"/>
      <c r="K117" s="153"/>
      <c r="L117" s="154">
        <f t="shared" si="29"/>
        <v>18</v>
      </c>
      <c r="M117" s="155">
        <f t="shared" si="30"/>
        <v>0.8699500000000001</v>
      </c>
      <c r="N117" s="155">
        <f t="shared" si="31"/>
        <v>2.6098500000000002</v>
      </c>
      <c r="O117" s="155">
        <f t="shared" si="32"/>
        <v>15.65</v>
      </c>
      <c r="P117" s="155">
        <f t="shared" si="33"/>
        <v>46.97</v>
      </c>
      <c r="Q117" s="156">
        <f t="shared" si="34"/>
        <v>62.62</v>
      </c>
      <c r="U117" s="114">
        <v>2.74</v>
      </c>
      <c r="X117" s="111">
        <f t="shared" si="22"/>
        <v>0.016400000000011516</v>
      </c>
    </row>
    <row r="118" spans="2:24" s="111" customFormat="1" ht="33.75">
      <c r="B118" s="148" t="s">
        <v>634</v>
      </c>
      <c r="C118" s="149" t="s">
        <v>474</v>
      </c>
      <c r="D118" s="179" t="s">
        <v>530</v>
      </c>
      <c r="E118" s="207" t="s">
        <v>633</v>
      </c>
      <c r="F118" s="152" t="s">
        <v>132</v>
      </c>
      <c r="G118" s="153">
        <v>7</v>
      </c>
      <c r="H118" s="153"/>
      <c r="I118" s="153"/>
      <c r="J118" s="153"/>
      <c r="K118" s="153">
        <v>7</v>
      </c>
      <c r="L118" s="154">
        <f t="shared" si="29"/>
        <v>14</v>
      </c>
      <c r="M118" s="155">
        <f t="shared" si="30"/>
        <v>2.63525</v>
      </c>
      <c r="N118" s="155">
        <f t="shared" si="31"/>
        <v>7.90575</v>
      </c>
      <c r="O118" s="155">
        <f t="shared" si="32"/>
        <v>36.89</v>
      </c>
      <c r="P118" s="155">
        <f t="shared" si="33"/>
        <v>110.68</v>
      </c>
      <c r="Q118" s="156">
        <f t="shared" si="34"/>
        <v>147.57</v>
      </c>
      <c r="U118" s="114">
        <v>8.3</v>
      </c>
      <c r="X118" s="111">
        <f t="shared" si="22"/>
        <v>0.004000000000019099</v>
      </c>
    </row>
    <row r="119" spans="2:24" s="111" customFormat="1" ht="33.75">
      <c r="B119" s="148" t="s">
        <v>632</v>
      </c>
      <c r="C119" s="149" t="s">
        <v>472</v>
      </c>
      <c r="D119" s="179" t="s">
        <v>530</v>
      </c>
      <c r="E119" s="207" t="s">
        <v>631</v>
      </c>
      <c r="F119" s="152" t="s">
        <v>132</v>
      </c>
      <c r="G119" s="153">
        <v>11</v>
      </c>
      <c r="H119" s="153"/>
      <c r="I119" s="153"/>
      <c r="J119" s="153"/>
      <c r="K119" s="153">
        <v>47.5</v>
      </c>
      <c r="L119" s="154">
        <f t="shared" si="29"/>
        <v>58.5</v>
      </c>
      <c r="M119" s="155">
        <f t="shared" si="30"/>
        <v>0.99695</v>
      </c>
      <c r="N119" s="155">
        <f t="shared" si="31"/>
        <v>2.99085</v>
      </c>
      <c r="O119" s="155">
        <f t="shared" si="32"/>
        <v>58.32</v>
      </c>
      <c r="P119" s="155">
        <f t="shared" si="33"/>
        <v>174.96</v>
      </c>
      <c r="Q119" s="156">
        <f t="shared" si="34"/>
        <v>233.28</v>
      </c>
      <c r="U119" s="114">
        <v>3.14</v>
      </c>
      <c r="X119" s="111">
        <f t="shared" si="22"/>
        <v>0.006299999999981765</v>
      </c>
    </row>
    <row r="120" spans="2:24" s="111" customFormat="1" ht="33.75">
      <c r="B120" s="148" t="s">
        <v>630</v>
      </c>
      <c r="C120" s="149" t="s">
        <v>470</v>
      </c>
      <c r="D120" s="179" t="s">
        <v>530</v>
      </c>
      <c r="E120" s="207" t="s">
        <v>629</v>
      </c>
      <c r="F120" s="152" t="s">
        <v>132</v>
      </c>
      <c r="G120" s="153">
        <v>23</v>
      </c>
      <c r="H120" s="153"/>
      <c r="I120" s="153"/>
      <c r="J120" s="153"/>
      <c r="K120" s="153"/>
      <c r="L120" s="154">
        <f t="shared" si="29"/>
        <v>23</v>
      </c>
      <c r="M120" s="155">
        <f t="shared" si="30"/>
        <v>1.7145000000000001</v>
      </c>
      <c r="N120" s="155">
        <f t="shared" si="31"/>
        <v>5.1435</v>
      </c>
      <c r="O120" s="155">
        <f t="shared" si="32"/>
        <v>39.43</v>
      </c>
      <c r="P120" s="155">
        <f t="shared" si="33"/>
        <v>118.3</v>
      </c>
      <c r="Q120" s="156">
        <f t="shared" si="34"/>
        <v>157.73</v>
      </c>
      <c r="U120" s="114">
        <v>5.4</v>
      </c>
      <c r="X120" s="111">
        <f t="shared" si="22"/>
        <v>0.004000000000019099</v>
      </c>
    </row>
    <row r="121" spans="2:25" s="111" customFormat="1" ht="33.75">
      <c r="B121" s="148" t="s">
        <v>628</v>
      </c>
      <c r="C121" s="149" t="s">
        <v>627</v>
      </c>
      <c r="D121" s="179" t="s">
        <v>530</v>
      </c>
      <c r="E121" s="208" t="s">
        <v>626</v>
      </c>
      <c r="F121" s="198" t="s">
        <v>33</v>
      </c>
      <c r="G121" s="209">
        <v>2</v>
      </c>
      <c r="H121" s="209"/>
      <c r="I121" s="209"/>
      <c r="J121" s="209"/>
      <c r="K121" s="209"/>
      <c r="L121" s="154">
        <f t="shared" si="29"/>
        <v>2</v>
      </c>
      <c r="M121" s="155">
        <f t="shared" si="30"/>
        <v>920.92145</v>
      </c>
      <c r="N121" s="155">
        <f t="shared" si="31"/>
        <v>2762.7643500000004</v>
      </c>
      <c r="O121" s="155">
        <f t="shared" si="32"/>
        <v>1841.84</v>
      </c>
      <c r="P121" s="155">
        <f t="shared" si="33"/>
        <v>5525.52</v>
      </c>
      <c r="Q121" s="156">
        <f t="shared" si="34"/>
        <v>7367.360000000001</v>
      </c>
      <c r="U121" s="114">
        <v>2900.54</v>
      </c>
      <c r="X121" s="111">
        <f t="shared" si="22"/>
        <v>0.011599999999816646</v>
      </c>
      <c r="Y121" s="109"/>
    </row>
    <row r="122" spans="2:24" s="111" customFormat="1" ht="33.75">
      <c r="B122" s="148" t="s">
        <v>625</v>
      </c>
      <c r="C122" s="149" t="s">
        <v>565</v>
      </c>
      <c r="D122" s="179"/>
      <c r="E122" s="208" t="s">
        <v>624</v>
      </c>
      <c r="F122" s="198" t="s">
        <v>33</v>
      </c>
      <c r="G122" s="209"/>
      <c r="H122" s="209"/>
      <c r="I122" s="209"/>
      <c r="J122" s="209"/>
      <c r="K122" s="209">
        <v>1</v>
      </c>
      <c r="L122" s="154">
        <f t="shared" si="29"/>
        <v>1</v>
      </c>
      <c r="M122" s="155">
        <f t="shared" si="30"/>
        <v>984.25</v>
      </c>
      <c r="N122" s="155">
        <f t="shared" si="31"/>
        <v>2952.75</v>
      </c>
      <c r="O122" s="155">
        <f t="shared" si="32"/>
        <v>984.25</v>
      </c>
      <c r="P122" s="155">
        <f t="shared" si="33"/>
        <v>2952.75</v>
      </c>
      <c r="Q122" s="156">
        <f t="shared" si="34"/>
        <v>3937</v>
      </c>
      <c r="U122" s="114">
        <v>3100</v>
      </c>
      <c r="X122" s="111">
        <f t="shared" si="22"/>
        <v>0</v>
      </c>
    </row>
    <row r="123" spans="2:24" s="111" customFormat="1" ht="33.75">
      <c r="B123" s="148" t="s">
        <v>623</v>
      </c>
      <c r="C123" s="149" t="s">
        <v>565</v>
      </c>
      <c r="D123" s="179"/>
      <c r="E123" s="207" t="s">
        <v>622</v>
      </c>
      <c r="F123" s="198" t="s">
        <v>33</v>
      </c>
      <c r="G123" s="209"/>
      <c r="H123" s="209"/>
      <c r="I123" s="209">
        <v>1</v>
      </c>
      <c r="J123" s="209"/>
      <c r="K123" s="209"/>
      <c r="L123" s="154">
        <f t="shared" si="29"/>
        <v>1</v>
      </c>
      <c r="M123" s="155">
        <f t="shared" si="30"/>
        <v>1460.5</v>
      </c>
      <c r="N123" s="155">
        <f t="shared" si="31"/>
        <v>4381.5</v>
      </c>
      <c r="O123" s="155">
        <f t="shared" si="32"/>
        <v>1460.5</v>
      </c>
      <c r="P123" s="155">
        <f t="shared" si="33"/>
        <v>4381.5</v>
      </c>
      <c r="Q123" s="156">
        <f t="shared" si="34"/>
        <v>5842</v>
      </c>
      <c r="U123" s="114">
        <v>4600</v>
      </c>
      <c r="W123" s="109"/>
      <c r="X123" s="111">
        <f t="shared" si="22"/>
        <v>0</v>
      </c>
    </row>
    <row r="124" spans="2:24" s="111" customFormat="1" ht="22.5">
      <c r="B124" s="148" t="s">
        <v>621</v>
      </c>
      <c r="C124" s="149">
        <v>86872</v>
      </c>
      <c r="D124" s="179" t="s">
        <v>17</v>
      </c>
      <c r="E124" s="207" t="s">
        <v>620</v>
      </c>
      <c r="F124" s="198" t="s">
        <v>33</v>
      </c>
      <c r="G124" s="209">
        <v>1</v>
      </c>
      <c r="H124" s="209"/>
      <c r="I124" s="209"/>
      <c r="J124" s="209"/>
      <c r="K124" s="209"/>
      <c r="L124" s="154">
        <f t="shared" si="29"/>
        <v>1</v>
      </c>
      <c r="M124" s="155">
        <f t="shared" si="30"/>
        <v>161.8234</v>
      </c>
      <c r="N124" s="155">
        <f t="shared" si="31"/>
        <v>485.4702</v>
      </c>
      <c r="O124" s="155">
        <f t="shared" si="32"/>
        <v>161.82</v>
      </c>
      <c r="P124" s="155">
        <f t="shared" si="33"/>
        <v>485.47</v>
      </c>
      <c r="Q124" s="156">
        <f t="shared" si="34"/>
        <v>647.29</v>
      </c>
      <c r="U124" s="114">
        <v>509.68</v>
      </c>
      <c r="W124" s="111">
        <f>LOWER(W123)</f>
      </c>
      <c r="X124" s="111">
        <f t="shared" si="22"/>
        <v>0.0036000000000058208</v>
      </c>
    </row>
    <row r="125" spans="2:24" s="111" customFormat="1" ht="67.5">
      <c r="B125" s="148" t="s">
        <v>619</v>
      </c>
      <c r="C125" s="149">
        <v>93441</v>
      </c>
      <c r="D125" s="179" t="s">
        <v>17</v>
      </c>
      <c r="E125" s="207" t="s">
        <v>618</v>
      </c>
      <c r="F125" s="198" t="s">
        <v>33</v>
      </c>
      <c r="G125" s="209">
        <v>1</v>
      </c>
      <c r="H125" s="209"/>
      <c r="I125" s="209"/>
      <c r="J125" s="209"/>
      <c r="K125" s="209"/>
      <c r="L125" s="154">
        <f t="shared" si="29"/>
        <v>1</v>
      </c>
      <c r="M125" s="155">
        <f t="shared" si="30"/>
        <v>276.23135</v>
      </c>
      <c r="N125" s="155">
        <f t="shared" si="31"/>
        <v>828.6940500000001</v>
      </c>
      <c r="O125" s="155">
        <f t="shared" si="32"/>
        <v>276.23</v>
      </c>
      <c r="P125" s="155">
        <f t="shared" si="33"/>
        <v>828.69</v>
      </c>
      <c r="Q125" s="156">
        <f t="shared" si="34"/>
        <v>1104.92</v>
      </c>
      <c r="U125" s="114">
        <v>870.02</v>
      </c>
      <c r="X125" s="111">
        <f t="shared" si="22"/>
        <v>0.005400000000008731</v>
      </c>
    </row>
    <row r="126" spans="2:23" s="111" customFormat="1" ht="12.75">
      <c r="B126" s="182"/>
      <c r="C126" s="158"/>
      <c r="D126" s="190"/>
      <c r="E126" s="160" t="s">
        <v>376</v>
      </c>
      <c r="F126" s="183"/>
      <c r="G126" s="174"/>
      <c r="H126" s="174"/>
      <c r="I126" s="174"/>
      <c r="J126" s="174"/>
      <c r="K126" s="174"/>
      <c r="L126" s="161"/>
      <c r="M126" s="161"/>
      <c r="N126" s="161"/>
      <c r="O126" s="162">
        <f>SUM(O107:O125)</f>
        <v>6615.26</v>
      </c>
      <c r="P126" s="162">
        <f>SUM(P107:P125)</f>
        <v>19845.95</v>
      </c>
      <c r="Q126" s="163">
        <f>TRUNC(SUM(Q107:Q125),2)</f>
        <v>26461.21</v>
      </c>
      <c r="U126" s="114"/>
      <c r="W126" s="116">
        <f>Q126</f>
        <v>26461.21</v>
      </c>
    </row>
    <row r="127" spans="2:24" s="111" customFormat="1" ht="12.75">
      <c r="B127" s="210" t="s">
        <v>617</v>
      </c>
      <c r="C127" s="149"/>
      <c r="D127" s="168"/>
      <c r="E127" s="211" t="s">
        <v>616</v>
      </c>
      <c r="F127" s="212"/>
      <c r="G127" s="174"/>
      <c r="H127" s="174"/>
      <c r="I127" s="174"/>
      <c r="J127" s="174"/>
      <c r="K127" s="174"/>
      <c r="L127" s="177"/>
      <c r="M127" s="177"/>
      <c r="N127" s="177"/>
      <c r="O127" s="213"/>
      <c r="P127" s="213"/>
      <c r="Q127" s="214"/>
      <c r="U127" s="114"/>
      <c r="X127" s="111">
        <f t="shared" si="22"/>
        <v>0</v>
      </c>
    </row>
    <row r="128" spans="2:24" s="111" customFormat="1" ht="12.75">
      <c r="B128" s="170" t="s">
        <v>615</v>
      </c>
      <c r="C128" s="149" t="s">
        <v>614</v>
      </c>
      <c r="D128" s="215" t="s">
        <v>17</v>
      </c>
      <c r="E128" s="207" t="s">
        <v>613</v>
      </c>
      <c r="F128" s="152" t="s">
        <v>148</v>
      </c>
      <c r="G128" s="153"/>
      <c r="H128" s="153"/>
      <c r="I128" s="153"/>
      <c r="J128" s="153"/>
      <c r="K128" s="153">
        <f>K129*0.85+K130*0.95</f>
        <v>191.08499999999998</v>
      </c>
      <c r="L128" s="154">
        <f aca="true" t="shared" si="35" ref="L128:L133">SUM(G128:K128)</f>
        <v>191.08499999999998</v>
      </c>
      <c r="M128" s="155">
        <f aca="true" t="shared" si="36" ref="M128:M134">U128*(1+$L$199/100)*0.25</f>
        <v>14.312899999999999</v>
      </c>
      <c r="N128" s="155">
        <f aca="true" t="shared" si="37" ref="N128:N134">U128*(1+$L$199/100)*0.75</f>
        <v>42.9387</v>
      </c>
      <c r="O128" s="155">
        <f aca="true" t="shared" si="38" ref="O128:O133">TRUNC(L128*M128,2)</f>
        <v>2734.98</v>
      </c>
      <c r="P128" s="155">
        <f aca="true" t="shared" si="39" ref="P128:P133">TRUNC(L128*N128,2)</f>
        <v>8204.94</v>
      </c>
      <c r="Q128" s="156">
        <f aca="true" t="shared" si="40" ref="Q128:Q133">SUM(O128:P128)</f>
        <v>10939.92</v>
      </c>
      <c r="U128" s="114">
        <v>45.08</v>
      </c>
      <c r="X128" s="111">
        <f t="shared" si="22"/>
        <v>0.0019859999974869424</v>
      </c>
    </row>
    <row r="129" spans="2:24" s="111" customFormat="1" ht="33.75">
      <c r="B129" s="170" t="s">
        <v>612</v>
      </c>
      <c r="C129" s="149" t="s">
        <v>611</v>
      </c>
      <c r="D129" s="215" t="s">
        <v>17</v>
      </c>
      <c r="E129" s="207" t="s">
        <v>610</v>
      </c>
      <c r="F129" s="216" t="s">
        <v>126</v>
      </c>
      <c r="G129" s="217"/>
      <c r="H129" s="217"/>
      <c r="I129" s="217"/>
      <c r="J129" s="217"/>
      <c r="K129" s="217">
        <f>(9.15*8)+9.34+10.13+13.43+30+12+19+13</f>
        <v>180.1</v>
      </c>
      <c r="L129" s="154">
        <f t="shared" si="35"/>
        <v>180.1</v>
      </c>
      <c r="M129" s="155">
        <f t="shared" si="36"/>
        <v>37.9349</v>
      </c>
      <c r="N129" s="155">
        <f t="shared" si="37"/>
        <v>113.8047</v>
      </c>
      <c r="O129" s="155">
        <f t="shared" si="38"/>
        <v>6832.07</v>
      </c>
      <c r="P129" s="155">
        <f t="shared" si="39"/>
        <v>20496.22</v>
      </c>
      <c r="Q129" s="156">
        <f t="shared" si="40"/>
        <v>27328.29</v>
      </c>
      <c r="U129" s="114">
        <f>V129+W129</f>
        <v>119.48</v>
      </c>
      <c r="V129" s="111">
        <v>80.67</v>
      </c>
      <c r="W129" s="111">
        <v>38.81</v>
      </c>
      <c r="X129" s="111">
        <f t="shared" si="22"/>
        <v>0.01195999999617925</v>
      </c>
    </row>
    <row r="130" spans="2:24" s="111" customFormat="1" ht="33.75">
      <c r="B130" s="170">
        <v>13.3</v>
      </c>
      <c r="C130" s="149" t="s">
        <v>609</v>
      </c>
      <c r="D130" s="215" t="s">
        <v>17</v>
      </c>
      <c r="E130" s="207" t="s">
        <v>608</v>
      </c>
      <c r="F130" s="216" t="s">
        <v>126</v>
      </c>
      <c r="G130" s="217"/>
      <c r="H130" s="217"/>
      <c r="I130" s="217"/>
      <c r="J130" s="217"/>
      <c r="K130" s="217">
        <f>18+6+16</f>
        <v>40</v>
      </c>
      <c r="L130" s="154">
        <f t="shared" si="35"/>
        <v>40</v>
      </c>
      <c r="M130" s="155">
        <f t="shared" si="36"/>
        <v>62.274449999999995</v>
      </c>
      <c r="N130" s="155">
        <f t="shared" si="37"/>
        <v>186.82334999999998</v>
      </c>
      <c r="O130" s="155">
        <f t="shared" si="38"/>
        <v>2490.97</v>
      </c>
      <c r="P130" s="155">
        <f t="shared" si="39"/>
        <v>7472.93</v>
      </c>
      <c r="Q130" s="156">
        <f t="shared" si="40"/>
        <v>9963.9</v>
      </c>
      <c r="U130" s="114">
        <f>V130+W130</f>
        <v>196.14</v>
      </c>
      <c r="V130" s="111">
        <v>139.94</v>
      </c>
      <c r="W130" s="111">
        <v>56.2</v>
      </c>
      <c r="X130" s="111">
        <f t="shared" si="22"/>
        <v>0.011999999998806743</v>
      </c>
    </row>
    <row r="131" spans="2:24" s="111" customFormat="1" ht="33.75">
      <c r="B131" s="170" t="s">
        <v>607</v>
      </c>
      <c r="C131" s="149">
        <v>83708</v>
      </c>
      <c r="D131" s="215" t="s">
        <v>17</v>
      </c>
      <c r="E131" s="207" t="s">
        <v>299</v>
      </c>
      <c r="F131" s="198" t="s">
        <v>33</v>
      </c>
      <c r="G131" s="218"/>
      <c r="H131" s="218"/>
      <c r="I131" s="218"/>
      <c r="J131" s="218"/>
      <c r="K131" s="218">
        <v>11</v>
      </c>
      <c r="L131" s="154">
        <f t="shared" si="35"/>
        <v>11</v>
      </c>
      <c r="M131" s="155">
        <f t="shared" si="36"/>
        <v>356.5144</v>
      </c>
      <c r="N131" s="155">
        <f t="shared" si="37"/>
        <v>1069.5432</v>
      </c>
      <c r="O131" s="155">
        <f t="shared" si="38"/>
        <v>3921.65</v>
      </c>
      <c r="P131" s="155">
        <f t="shared" si="39"/>
        <v>11764.97</v>
      </c>
      <c r="Q131" s="156">
        <f t="shared" si="40"/>
        <v>15686.619999999999</v>
      </c>
      <c r="U131" s="114">
        <v>1122.88</v>
      </c>
      <c r="X131" s="111">
        <f t="shared" si="22"/>
        <v>0.013600000002043089</v>
      </c>
    </row>
    <row r="132" spans="2:24" s="111" customFormat="1" ht="33.75">
      <c r="B132" s="170" t="s">
        <v>606</v>
      </c>
      <c r="C132" s="149">
        <v>83709</v>
      </c>
      <c r="D132" s="215" t="s">
        <v>17</v>
      </c>
      <c r="E132" s="207" t="s">
        <v>605</v>
      </c>
      <c r="F132" s="198" t="s">
        <v>33</v>
      </c>
      <c r="G132" s="218"/>
      <c r="H132" s="218"/>
      <c r="I132" s="218"/>
      <c r="J132" s="218"/>
      <c r="K132" s="218">
        <v>3</v>
      </c>
      <c r="L132" s="154">
        <f t="shared" si="35"/>
        <v>3</v>
      </c>
      <c r="M132" s="155">
        <f t="shared" si="36"/>
        <v>443.722125</v>
      </c>
      <c r="N132" s="155">
        <f t="shared" si="37"/>
        <v>1331.166375</v>
      </c>
      <c r="O132" s="155">
        <f t="shared" si="38"/>
        <v>1331.16</v>
      </c>
      <c r="P132" s="155">
        <f t="shared" si="39"/>
        <v>3993.49</v>
      </c>
      <c r="Q132" s="156">
        <f t="shared" si="40"/>
        <v>5324.65</v>
      </c>
      <c r="U132" s="114">
        <v>1397.55</v>
      </c>
      <c r="X132" s="111">
        <f t="shared" si="22"/>
        <v>0.015500000000429281</v>
      </c>
    </row>
    <row r="133" spans="2:23" s="111" customFormat="1" ht="33.75">
      <c r="B133" s="170" t="s">
        <v>604</v>
      </c>
      <c r="C133" s="219" t="s">
        <v>603</v>
      </c>
      <c r="D133" s="215" t="s">
        <v>17</v>
      </c>
      <c r="E133" s="207" t="s">
        <v>602</v>
      </c>
      <c r="F133" s="220" t="s">
        <v>126</v>
      </c>
      <c r="G133" s="218"/>
      <c r="H133" s="218"/>
      <c r="I133" s="218"/>
      <c r="J133" s="218"/>
      <c r="K133" s="218">
        <v>18</v>
      </c>
      <c r="L133" s="154">
        <f t="shared" si="35"/>
        <v>18</v>
      </c>
      <c r="M133" s="155">
        <f t="shared" si="36"/>
        <v>7.388225</v>
      </c>
      <c r="N133" s="155">
        <f t="shared" si="37"/>
        <v>22.164675000000003</v>
      </c>
      <c r="O133" s="155">
        <f t="shared" si="38"/>
        <v>132.98</v>
      </c>
      <c r="P133" s="155">
        <f t="shared" si="39"/>
        <v>398.96</v>
      </c>
      <c r="Q133" s="156">
        <f t="shared" si="40"/>
        <v>531.9399999999999</v>
      </c>
      <c r="U133" s="114">
        <f>TRUNC((V133+W133+X133),2)</f>
        <v>23.27</v>
      </c>
      <c r="V133" s="111">
        <f>352.21*0.6*0.1</f>
        <v>21.1326</v>
      </c>
      <c r="W133" s="111">
        <f>10.72*0.2</f>
        <v>2.144</v>
      </c>
    </row>
    <row r="134" spans="2:24" s="111" customFormat="1" ht="12.75">
      <c r="B134" s="170"/>
      <c r="C134" s="149" t="s">
        <v>318</v>
      </c>
      <c r="D134" s="215" t="s">
        <v>17</v>
      </c>
      <c r="E134" s="172" t="s">
        <v>319</v>
      </c>
      <c r="F134" s="198" t="s">
        <v>33</v>
      </c>
      <c r="G134" s="218"/>
      <c r="H134" s="218"/>
      <c r="I134" s="218"/>
      <c r="J134" s="218"/>
      <c r="K134" s="218"/>
      <c r="L134" s="154">
        <v>1</v>
      </c>
      <c r="M134" s="155">
        <f t="shared" si="36"/>
        <v>1351.764685213</v>
      </c>
      <c r="N134" s="155">
        <f t="shared" si="37"/>
        <v>4055.2940556389995</v>
      </c>
      <c r="O134" s="155">
        <f>TRUNC(L134*M134,2)</f>
        <v>1351.76</v>
      </c>
      <c r="P134" s="155">
        <f>TRUNC(L134*N134,2)</f>
        <v>4055.29</v>
      </c>
      <c r="Q134" s="156">
        <f>SUM(O134:P134)</f>
        <v>5407.05</v>
      </c>
      <c r="U134" s="108">
        <v>4257.5265676</v>
      </c>
      <c r="X134" s="111">
        <f t="shared" si="22"/>
        <v>0.008740851999391452</v>
      </c>
    </row>
    <row r="135" spans="2:23" s="111" customFormat="1" ht="12.75">
      <c r="B135" s="221"/>
      <c r="C135" s="158"/>
      <c r="D135" s="160"/>
      <c r="E135" s="160" t="s">
        <v>601</v>
      </c>
      <c r="F135" s="183"/>
      <c r="G135" s="174"/>
      <c r="H135" s="174"/>
      <c r="I135" s="174"/>
      <c r="J135" s="174"/>
      <c r="K135" s="174"/>
      <c r="L135" s="161"/>
      <c r="M135" s="161"/>
      <c r="N135" s="161"/>
      <c r="O135" s="162">
        <f>SUM(O128:O133)</f>
        <v>17443.809999999998</v>
      </c>
      <c r="P135" s="162">
        <f>SUM(P128:P133)</f>
        <v>52331.51</v>
      </c>
      <c r="Q135" s="163">
        <f>TRUNC(SUM(Q128:Q133),2)</f>
        <v>69775.32</v>
      </c>
      <c r="U135" s="114"/>
      <c r="W135" s="116">
        <f>Q135</f>
        <v>69775.32</v>
      </c>
    </row>
    <row r="136" spans="2:24" s="111" customFormat="1" ht="12.75">
      <c r="B136" s="164" t="s">
        <v>600</v>
      </c>
      <c r="C136" s="219"/>
      <c r="D136" s="168"/>
      <c r="E136" s="222" t="s">
        <v>375</v>
      </c>
      <c r="F136" s="185"/>
      <c r="G136" s="186"/>
      <c r="H136" s="186"/>
      <c r="I136" s="186"/>
      <c r="J136" s="186"/>
      <c r="K136" s="186"/>
      <c r="L136" s="187"/>
      <c r="M136" s="187"/>
      <c r="N136" s="187"/>
      <c r="O136" s="187"/>
      <c r="P136" s="187"/>
      <c r="Q136" s="188"/>
      <c r="U136" s="114"/>
      <c r="X136" s="111">
        <f t="shared" si="22"/>
        <v>0</v>
      </c>
    </row>
    <row r="137" spans="2:24" s="111" customFormat="1" ht="12.75">
      <c r="B137" s="148" t="s">
        <v>598</v>
      </c>
      <c r="C137" s="219">
        <v>72125</v>
      </c>
      <c r="D137" s="168" t="s">
        <v>17</v>
      </c>
      <c r="E137" s="199" t="s">
        <v>599</v>
      </c>
      <c r="F137" s="152" t="s">
        <v>228</v>
      </c>
      <c r="G137" s="195"/>
      <c r="H137" s="195"/>
      <c r="I137" s="195"/>
      <c r="J137" s="195"/>
      <c r="K137" s="223">
        <f>K138</f>
        <v>610.225</v>
      </c>
      <c r="L137" s="154">
        <f>SUM(G137:K137)</f>
        <v>610.225</v>
      </c>
      <c r="M137" s="155">
        <f aca="true" t="shared" si="41" ref="M137:M142">U137*(1+$L$199/100)*0.25</f>
        <v>2.03835</v>
      </c>
      <c r="N137" s="155">
        <f aca="true" t="shared" si="42" ref="N137:N142">U137*(1+$L$199/100)*0.75</f>
        <v>6.11505</v>
      </c>
      <c r="O137" s="155">
        <f aca="true" t="shared" si="43" ref="O137:O142">TRUNC(L137*M137,2)</f>
        <v>1243.85</v>
      </c>
      <c r="P137" s="155">
        <f aca="true" t="shared" si="44" ref="P137:P142">TRUNC(L137*N137,2)</f>
        <v>3731.55</v>
      </c>
      <c r="Q137" s="156">
        <f aca="true" t="shared" si="45" ref="Q137:Q142">SUM(O137:P137)</f>
        <v>4975.4</v>
      </c>
      <c r="U137" s="114">
        <v>6.42</v>
      </c>
      <c r="X137" s="111">
        <f t="shared" si="22"/>
        <v>0.008515000000443251</v>
      </c>
    </row>
    <row r="138" spans="2:24" s="111" customFormat="1" ht="22.5">
      <c r="B138" s="148" t="s">
        <v>596</v>
      </c>
      <c r="C138" s="149">
        <v>88487</v>
      </c>
      <c r="D138" s="168" t="s">
        <v>17</v>
      </c>
      <c r="E138" s="199" t="s">
        <v>597</v>
      </c>
      <c r="F138" s="152" t="s">
        <v>228</v>
      </c>
      <c r="G138" s="153">
        <f>G82</f>
        <v>110.96</v>
      </c>
      <c r="H138" s="153"/>
      <c r="I138" s="153"/>
      <c r="J138" s="153">
        <v>31.2</v>
      </c>
      <c r="K138" s="153">
        <f>500+29.76+13.3*(5.25+0.8)</f>
        <v>610.225</v>
      </c>
      <c r="L138" s="154">
        <f>SUM(G138:K138)</f>
        <v>752.385</v>
      </c>
      <c r="M138" s="155">
        <f t="shared" si="41"/>
        <v>2.54635</v>
      </c>
      <c r="N138" s="155">
        <f t="shared" si="42"/>
        <v>7.639049999999999</v>
      </c>
      <c r="O138" s="155">
        <f t="shared" si="43"/>
        <v>1915.83</v>
      </c>
      <c r="P138" s="155">
        <f t="shared" si="44"/>
        <v>5747.5</v>
      </c>
      <c r="Q138" s="156">
        <f t="shared" si="45"/>
        <v>7663.33</v>
      </c>
      <c r="U138" s="114">
        <v>8.02</v>
      </c>
      <c r="X138" s="111">
        <f t="shared" si="22"/>
        <v>0.012178999999377993</v>
      </c>
    </row>
    <row r="139" spans="2:24" s="111" customFormat="1" ht="33.75">
      <c r="B139" s="148" t="s">
        <v>807</v>
      </c>
      <c r="C139" s="149" t="s">
        <v>595</v>
      </c>
      <c r="D139" s="168" t="s">
        <v>17</v>
      </c>
      <c r="E139" s="199" t="s">
        <v>594</v>
      </c>
      <c r="F139" s="152" t="s">
        <v>228</v>
      </c>
      <c r="G139" s="153">
        <f>G88+G87</f>
        <v>23.56</v>
      </c>
      <c r="H139" s="153">
        <f>H87+H86</f>
        <v>15.015</v>
      </c>
      <c r="I139" s="153"/>
      <c r="J139" s="153"/>
      <c r="K139" s="153">
        <f>11+(0.7*0.5*2)+2.1+(0.8*2.1*3)+2.1+(1.3*0.8)+(0.8*2.1)+(0.7*2.1)+2.4+(2.5*2.2)</f>
        <v>33.03</v>
      </c>
      <c r="L139" s="154">
        <f>SUM(G139:K139)</f>
        <v>71.605</v>
      </c>
      <c r="M139" s="155">
        <f t="shared" si="41"/>
        <v>9.823450000000001</v>
      </c>
      <c r="N139" s="155">
        <f t="shared" si="42"/>
        <v>29.470350000000003</v>
      </c>
      <c r="O139" s="155">
        <f t="shared" si="43"/>
        <v>703.4</v>
      </c>
      <c r="P139" s="155">
        <f t="shared" si="44"/>
        <v>2110.22</v>
      </c>
      <c r="Q139" s="156">
        <f t="shared" si="45"/>
        <v>2813.62</v>
      </c>
      <c r="U139" s="114">
        <v>30.94</v>
      </c>
      <c r="X139" s="111">
        <f aca="true" t="shared" si="46" ref="X139:X154">(L139*M139)+(L139*N139)-(Q139)</f>
        <v>0.012549000000490196</v>
      </c>
    </row>
    <row r="140" spans="2:24" s="111" customFormat="1" ht="33.75">
      <c r="B140" s="148" t="s">
        <v>808</v>
      </c>
      <c r="C140" s="219" t="s">
        <v>377</v>
      </c>
      <c r="D140" s="168" t="s">
        <v>17</v>
      </c>
      <c r="E140" s="199" t="s">
        <v>380</v>
      </c>
      <c r="F140" s="152" t="s">
        <v>228</v>
      </c>
      <c r="G140" s="153"/>
      <c r="H140" s="153"/>
      <c r="I140" s="153"/>
      <c r="J140" s="153"/>
      <c r="K140" s="153"/>
      <c r="L140" s="154">
        <v>71.61</v>
      </c>
      <c r="M140" s="155">
        <f t="shared" si="41"/>
        <v>3.527425</v>
      </c>
      <c r="N140" s="155">
        <f t="shared" si="42"/>
        <v>10.582275</v>
      </c>
      <c r="O140" s="155">
        <f t="shared" si="43"/>
        <v>252.59</v>
      </c>
      <c r="P140" s="155">
        <f t="shared" si="44"/>
        <v>757.79</v>
      </c>
      <c r="Q140" s="156">
        <f t="shared" si="45"/>
        <v>1010.38</v>
      </c>
      <c r="U140" s="108">
        <v>11.11</v>
      </c>
      <c r="X140" s="111">
        <f t="shared" si="46"/>
        <v>0.015617000000020198</v>
      </c>
    </row>
    <row r="141" spans="2:24" s="111" customFormat="1" ht="33.75">
      <c r="B141" s="148" t="s">
        <v>809</v>
      </c>
      <c r="C141" s="219" t="s">
        <v>377</v>
      </c>
      <c r="D141" s="168" t="s">
        <v>17</v>
      </c>
      <c r="E141" s="224" t="s">
        <v>381</v>
      </c>
      <c r="F141" s="152" t="s">
        <v>228</v>
      </c>
      <c r="G141" s="153"/>
      <c r="H141" s="153"/>
      <c r="I141" s="153"/>
      <c r="J141" s="153"/>
      <c r="K141" s="153"/>
      <c r="L141" s="154">
        <v>290.232</v>
      </c>
      <c r="M141" s="155">
        <f t="shared" si="41"/>
        <v>5.413375</v>
      </c>
      <c r="N141" s="155">
        <f t="shared" si="42"/>
        <v>16.240125</v>
      </c>
      <c r="O141" s="155">
        <f t="shared" si="43"/>
        <v>1571.13</v>
      </c>
      <c r="P141" s="155">
        <f t="shared" si="44"/>
        <v>4713.4</v>
      </c>
      <c r="Q141" s="156">
        <f t="shared" si="45"/>
        <v>6284.53</v>
      </c>
      <c r="U141" s="108">
        <v>17.05</v>
      </c>
      <c r="X141" s="111">
        <f t="shared" si="46"/>
        <v>0.00861200000053941</v>
      </c>
    </row>
    <row r="142" spans="2:24" s="111" customFormat="1" ht="22.5">
      <c r="B142" s="148" t="s">
        <v>810</v>
      </c>
      <c r="C142" s="219" t="s">
        <v>382</v>
      </c>
      <c r="D142" s="168" t="s">
        <v>17</v>
      </c>
      <c r="E142" s="199" t="s">
        <v>383</v>
      </c>
      <c r="F142" s="152" t="s">
        <v>228</v>
      </c>
      <c r="G142" s="153"/>
      <c r="H142" s="153"/>
      <c r="I142" s="153"/>
      <c r="J142" s="153"/>
      <c r="K142" s="153"/>
      <c r="L142" s="154">
        <v>290.232</v>
      </c>
      <c r="M142" s="155">
        <f t="shared" si="41"/>
        <v>7.210425000000001</v>
      </c>
      <c r="N142" s="155">
        <f t="shared" si="42"/>
        <v>21.631275000000002</v>
      </c>
      <c r="O142" s="155">
        <f t="shared" si="43"/>
        <v>2092.69</v>
      </c>
      <c r="P142" s="155">
        <f t="shared" si="44"/>
        <v>6278.08</v>
      </c>
      <c r="Q142" s="156">
        <f t="shared" si="45"/>
        <v>8370.77</v>
      </c>
      <c r="U142" s="108">
        <v>22.71</v>
      </c>
      <c r="X142" s="111">
        <f t="shared" si="46"/>
        <v>0.014274400000431342</v>
      </c>
    </row>
    <row r="143" spans="2:23" s="111" customFormat="1" ht="12.75">
      <c r="B143" s="182"/>
      <c r="C143" s="158"/>
      <c r="D143" s="190"/>
      <c r="E143" s="160" t="s">
        <v>593</v>
      </c>
      <c r="F143" s="183"/>
      <c r="G143" s="174"/>
      <c r="H143" s="174"/>
      <c r="I143" s="174"/>
      <c r="J143" s="174"/>
      <c r="K143" s="174"/>
      <c r="L143" s="161"/>
      <c r="M143" s="161"/>
      <c r="N143" s="161"/>
      <c r="O143" s="162">
        <f>SUM(O137:O142)</f>
        <v>7779.49</v>
      </c>
      <c r="P143" s="162">
        <f>SUM(P137:P142)</f>
        <v>23338.54</v>
      </c>
      <c r="Q143" s="163">
        <f>TRUNC(SUM(Q137:Q142),2)</f>
        <v>31118.03</v>
      </c>
      <c r="U143" s="114"/>
      <c r="W143" s="116">
        <f>Q143</f>
        <v>31118.03</v>
      </c>
    </row>
    <row r="144" spans="2:24" s="111" customFormat="1" ht="12.75">
      <c r="B144" s="164" t="s">
        <v>592</v>
      </c>
      <c r="C144" s="219"/>
      <c r="D144" s="168"/>
      <c r="E144" s="222" t="s">
        <v>339</v>
      </c>
      <c r="F144" s="185"/>
      <c r="G144" s="186"/>
      <c r="H144" s="186"/>
      <c r="I144" s="186"/>
      <c r="J144" s="186"/>
      <c r="K144" s="186"/>
      <c r="L144" s="187"/>
      <c r="M144" s="187"/>
      <c r="N144" s="187"/>
      <c r="O144" s="187"/>
      <c r="P144" s="187"/>
      <c r="Q144" s="188"/>
      <c r="U144" s="114"/>
      <c r="X144" s="111">
        <f t="shared" si="46"/>
        <v>0</v>
      </c>
    </row>
    <row r="145" spans="2:24" s="111" customFormat="1" ht="22.5">
      <c r="B145" s="148" t="s">
        <v>591</v>
      </c>
      <c r="C145" s="149" t="s">
        <v>434</v>
      </c>
      <c r="D145" s="168" t="s">
        <v>17</v>
      </c>
      <c r="E145" s="199" t="s">
        <v>590</v>
      </c>
      <c r="F145" s="198" t="s">
        <v>33</v>
      </c>
      <c r="G145" s="209">
        <v>9</v>
      </c>
      <c r="H145" s="209"/>
      <c r="I145" s="209"/>
      <c r="J145" s="209"/>
      <c r="K145" s="209"/>
      <c r="L145" s="154">
        <f>SUM(G145:K145)</f>
        <v>9</v>
      </c>
      <c r="M145" s="155">
        <f aca="true" t="shared" si="47" ref="M145:M155">U145*(1+$L$199/100)*0.25</f>
        <v>53.705125</v>
      </c>
      <c r="N145" s="155">
        <f aca="true" t="shared" si="48" ref="N145:N155">U145*(1+$L$199/100)*0.75</f>
        <v>161.115375</v>
      </c>
      <c r="O145" s="155">
        <f aca="true" t="shared" si="49" ref="O145:O156">TRUNC(L145*M145,2)</f>
        <v>483.34</v>
      </c>
      <c r="P145" s="155">
        <f aca="true" t="shared" si="50" ref="P145:P156">TRUNC(L145*N145,2)</f>
        <v>1450.03</v>
      </c>
      <c r="Q145" s="156">
        <f aca="true" t="shared" si="51" ref="Q145:Q156">SUM(O145:P145)</f>
        <v>1933.37</v>
      </c>
      <c r="U145" s="114">
        <v>169.15</v>
      </c>
      <c r="X145" s="111">
        <f t="shared" si="46"/>
        <v>0.014500000000225555</v>
      </c>
    </row>
    <row r="146" spans="2:24" s="111" customFormat="1" ht="33.75">
      <c r="B146" s="148" t="s">
        <v>589</v>
      </c>
      <c r="C146" s="149" t="s">
        <v>565</v>
      </c>
      <c r="D146" s="168"/>
      <c r="E146" s="199" t="s">
        <v>588</v>
      </c>
      <c r="F146" s="198" t="s">
        <v>33</v>
      </c>
      <c r="G146" s="209">
        <v>10</v>
      </c>
      <c r="H146" s="209"/>
      <c r="I146" s="209"/>
      <c r="J146" s="209"/>
      <c r="K146" s="209"/>
      <c r="L146" s="154">
        <f>SUM(G146:K146)</f>
        <v>10</v>
      </c>
      <c r="M146" s="225">
        <f t="shared" si="47"/>
        <v>19.3675</v>
      </c>
      <c r="N146" s="225">
        <f t="shared" si="48"/>
        <v>58.1025</v>
      </c>
      <c r="O146" s="155">
        <f t="shared" si="49"/>
        <v>193.67</v>
      </c>
      <c r="P146" s="155">
        <f t="shared" si="50"/>
        <v>581.02</v>
      </c>
      <c r="Q146" s="226">
        <f t="shared" si="51"/>
        <v>774.6899999999999</v>
      </c>
      <c r="R146" s="112"/>
      <c r="U146" s="123">
        <v>61</v>
      </c>
      <c r="X146" s="111">
        <f t="shared" si="46"/>
        <v>0.010000000000104592</v>
      </c>
    </row>
    <row r="147" spans="2:24" s="111" customFormat="1" ht="45">
      <c r="B147" s="148" t="s">
        <v>587</v>
      </c>
      <c r="C147" s="179" t="s">
        <v>432</v>
      </c>
      <c r="D147" s="179" t="s">
        <v>530</v>
      </c>
      <c r="E147" s="227" t="s">
        <v>586</v>
      </c>
      <c r="F147" s="198" t="s">
        <v>33</v>
      </c>
      <c r="G147" s="228">
        <v>19</v>
      </c>
      <c r="H147" s="228"/>
      <c r="I147" s="228"/>
      <c r="J147" s="228"/>
      <c r="K147" s="228"/>
      <c r="L147" s="154">
        <f>SUM(G147:K147)</f>
        <v>19</v>
      </c>
      <c r="M147" s="155">
        <f t="shared" si="47"/>
        <v>5.857875</v>
      </c>
      <c r="N147" s="155">
        <f t="shared" si="48"/>
        <v>17.573625</v>
      </c>
      <c r="O147" s="155">
        <f t="shared" si="49"/>
        <v>111.29</v>
      </c>
      <c r="P147" s="155">
        <f t="shared" si="50"/>
        <v>333.89</v>
      </c>
      <c r="Q147" s="156">
        <f t="shared" si="51"/>
        <v>445.18</v>
      </c>
      <c r="U147" s="114">
        <v>18.45</v>
      </c>
      <c r="X147" s="111">
        <f t="shared" si="46"/>
        <v>0.018499999999960437</v>
      </c>
    </row>
    <row r="148" spans="2:24" s="111" customFormat="1" ht="45">
      <c r="B148" s="148" t="s">
        <v>585</v>
      </c>
      <c r="C148" s="179" t="s">
        <v>428</v>
      </c>
      <c r="D148" s="179" t="s">
        <v>530</v>
      </c>
      <c r="E148" s="227" t="s">
        <v>584</v>
      </c>
      <c r="F148" s="198" t="s">
        <v>33</v>
      </c>
      <c r="G148" s="228">
        <v>5</v>
      </c>
      <c r="H148" s="228"/>
      <c r="I148" s="228"/>
      <c r="J148" s="228"/>
      <c r="K148" s="228"/>
      <c r="L148" s="154">
        <f>SUM(G148:K148)</f>
        <v>5</v>
      </c>
      <c r="M148" s="155">
        <f t="shared" si="47"/>
        <v>3.5020249999999997</v>
      </c>
      <c r="N148" s="155">
        <f t="shared" si="48"/>
        <v>10.506075</v>
      </c>
      <c r="O148" s="155">
        <f t="shared" si="49"/>
        <v>17.51</v>
      </c>
      <c r="P148" s="155">
        <f t="shared" si="50"/>
        <v>52.53</v>
      </c>
      <c r="Q148" s="156">
        <f t="shared" si="51"/>
        <v>70.04</v>
      </c>
      <c r="U148" s="114">
        <v>11.03</v>
      </c>
      <c r="X148" s="111">
        <f t="shared" si="46"/>
        <v>0.0004999999999881766</v>
      </c>
    </row>
    <row r="149" spans="2:24" s="111" customFormat="1" ht="56.25">
      <c r="B149" s="148" t="s">
        <v>410</v>
      </c>
      <c r="C149" s="149" t="s">
        <v>340</v>
      </c>
      <c r="D149" s="179" t="s">
        <v>17</v>
      </c>
      <c r="E149" s="172" t="s">
        <v>341</v>
      </c>
      <c r="F149" s="168" t="s">
        <v>132</v>
      </c>
      <c r="G149" s="228"/>
      <c r="H149" s="228"/>
      <c r="I149" s="228"/>
      <c r="J149" s="228"/>
      <c r="K149" s="228"/>
      <c r="L149" s="154">
        <v>109.65</v>
      </c>
      <c r="M149" s="155">
        <f t="shared" si="47"/>
        <v>17.9832</v>
      </c>
      <c r="N149" s="155">
        <f t="shared" si="48"/>
        <v>53.949600000000004</v>
      </c>
      <c r="O149" s="155">
        <f t="shared" si="49"/>
        <v>1971.85</v>
      </c>
      <c r="P149" s="155">
        <f t="shared" si="50"/>
        <v>5915.57</v>
      </c>
      <c r="Q149" s="156">
        <f t="shared" si="51"/>
        <v>7887.42</v>
      </c>
      <c r="U149" s="114">
        <v>56.64</v>
      </c>
      <c r="X149" s="111">
        <f t="shared" si="46"/>
        <v>0.011520000000018626</v>
      </c>
    </row>
    <row r="150" spans="2:24" s="111" customFormat="1" ht="45">
      <c r="B150" s="148" t="s">
        <v>333</v>
      </c>
      <c r="C150" s="149" t="s">
        <v>343</v>
      </c>
      <c r="D150" s="179" t="s">
        <v>17</v>
      </c>
      <c r="E150" s="172" t="s">
        <v>344</v>
      </c>
      <c r="F150" s="168" t="s">
        <v>1</v>
      </c>
      <c r="G150" s="228"/>
      <c r="H150" s="228"/>
      <c r="I150" s="228"/>
      <c r="J150" s="228"/>
      <c r="K150" s="228"/>
      <c r="L150" s="154">
        <v>2</v>
      </c>
      <c r="M150" s="155">
        <f t="shared" si="47"/>
        <v>34.731325</v>
      </c>
      <c r="N150" s="155">
        <f t="shared" si="48"/>
        <v>104.193975</v>
      </c>
      <c r="O150" s="155">
        <f t="shared" si="49"/>
        <v>69.46</v>
      </c>
      <c r="P150" s="155">
        <f t="shared" si="50"/>
        <v>208.38</v>
      </c>
      <c r="Q150" s="156">
        <f t="shared" si="51"/>
        <v>277.84</v>
      </c>
      <c r="U150" s="114">
        <v>109.39</v>
      </c>
      <c r="X150" s="111">
        <f t="shared" si="46"/>
        <v>0.010600000000010823</v>
      </c>
    </row>
    <row r="151" spans="2:24" s="111" customFormat="1" ht="45">
      <c r="B151" s="148" t="s">
        <v>583</v>
      </c>
      <c r="C151" s="149" t="s">
        <v>345</v>
      </c>
      <c r="D151" s="179" t="s">
        <v>17</v>
      </c>
      <c r="E151" s="172" t="s">
        <v>346</v>
      </c>
      <c r="F151" s="168" t="s">
        <v>1</v>
      </c>
      <c r="G151" s="228"/>
      <c r="H151" s="228"/>
      <c r="I151" s="228"/>
      <c r="J151" s="228"/>
      <c r="K151" s="228"/>
      <c r="L151" s="154">
        <v>6</v>
      </c>
      <c r="M151" s="155">
        <f t="shared" si="47"/>
        <v>25.485725</v>
      </c>
      <c r="N151" s="155">
        <f t="shared" si="48"/>
        <v>76.45717499999999</v>
      </c>
      <c r="O151" s="155">
        <f t="shared" si="49"/>
        <v>152.91</v>
      </c>
      <c r="P151" s="155">
        <f t="shared" si="50"/>
        <v>458.74</v>
      </c>
      <c r="Q151" s="156">
        <f t="shared" si="51"/>
        <v>611.65</v>
      </c>
      <c r="U151" s="114">
        <v>80.27</v>
      </c>
      <c r="X151" s="111">
        <f t="shared" si="46"/>
        <v>0.007399999999961437</v>
      </c>
    </row>
    <row r="152" spans="2:24" s="111" customFormat="1" ht="45">
      <c r="B152" s="148" t="s">
        <v>581</v>
      </c>
      <c r="C152" s="149" t="s">
        <v>347</v>
      </c>
      <c r="D152" s="179" t="s">
        <v>17</v>
      </c>
      <c r="E152" s="172" t="s">
        <v>348</v>
      </c>
      <c r="F152" s="168" t="s">
        <v>1</v>
      </c>
      <c r="G152" s="228"/>
      <c r="H152" s="228"/>
      <c r="I152" s="228"/>
      <c r="J152" s="228"/>
      <c r="K152" s="228"/>
      <c r="L152" s="154">
        <v>15</v>
      </c>
      <c r="M152" s="155">
        <f t="shared" si="47"/>
        <v>33.3375</v>
      </c>
      <c r="N152" s="155">
        <f t="shared" si="48"/>
        <v>100.01249999999999</v>
      </c>
      <c r="O152" s="155">
        <f t="shared" si="49"/>
        <v>500.06</v>
      </c>
      <c r="P152" s="155">
        <f t="shared" si="50"/>
        <v>1500.18</v>
      </c>
      <c r="Q152" s="156">
        <f t="shared" si="51"/>
        <v>2000.24</v>
      </c>
      <c r="U152" s="114">
        <v>105</v>
      </c>
      <c r="X152" s="111">
        <f t="shared" si="46"/>
        <v>0.009999999999763531</v>
      </c>
    </row>
    <row r="153" spans="2:24" s="111" customFormat="1" ht="45">
      <c r="B153" s="148" t="s">
        <v>579</v>
      </c>
      <c r="C153" s="149" t="s">
        <v>355</v>
      </c>
      <c r="D153" s="179" t="s">
        <v>17</v>
      </c>
      <c r="E153" s="172" t="s">
        <v>386</v>
      </c>
      <c r="F153" s="168" t="s">
        <v>1</v>
      </c>
      <c r="G153" s="228"/>
      <c r="H153" s="228"/>
      <c r="I153" s="228"/>
      <c r="J153" s="228"/>
      <c r="K153" s="228"/>
      <c r="L153" s="154">
        <v>2</v>
      </c>
      <c r="M153" s="155">
        <f t="shared" si="47"/>
        <v>25.533350000000002</v>
      </c>
      <c r="N153" s="155">
        <f t="shared" si="48"/>
        <v>76.60005000000001</v>
      </c>
      <c r="O153" s="155">
        <f t="shared" si="49"/>
        <v>51.06</v>
      </c>
      <c r="P153" s="155">
        <f t="shared" si="50"/>
        <v>153.2</v>
      </c>
      <c r="Q153" s="156">
        <f t="shared" si="51"/>
        <v>204.26</v>
      </c>
      <c r="U153" s="114">
        <v>80.42</v>
      </c>
      <c r="X153" s="111">
        <f t="shared" si="46"/>
        <v>0.006800000000026785</v>
      </c>
    </row>
    <row r="154" spans="2:24" s="111" customFormat="1" ht="33.75">
      <c r="B154" s="148" t="s">
        <v>811</v>
      </c>
      <c r="C154" s="149" t="s">
        <v>565</v>
      </c>
      <c r="D154" s="179"/>
      <c r="E154" s="227" t="s">
        <v>582</v>
      </c>
      <c r="F154" s="198" t="s">
        <v>33</v>
      </c>
      <c r="G154" s="228">
        <v>3</v>
      </c>
      <c r="H154" s="228"/>
      <c r="I154" s="228"/>
      <c r="J154" s="228"/>
      <c r="K154" s="228"/>
      <c r="L154" s="154">
        <f>SUM(G154:K154)</f>
        <v>3</v>
      </c>
      <c r="M154" s="225">
        <f t="shared" si="47"/>
        <v>89.8525</v>
      </c>
      <c r="N154" s="225">
        <f t="shared" si="48"/>
        <v>269.5575</v>
      </c>
      <c r="O154" s="155">
        <f t="shared" si="49"/>
        <v>269.55</v>
      </c>
      <c r="P154" s="155">
        <f t="shared" si="50"/>
        <v>808.67</v>
      </c>
      <c r="Q154" s="226">
        <f t="shared" si="51"/>
        <v>1078.22</v>
      </c>
      <c r="U154" s="123">
        <v>283</v>
      </c>
      <c r="X154" s="111">
        <f t="shared" si="46"/>
        <v>0.009999999999990905</v>
      </c>
    </row>
    <row r="155" spans="2:24" s="111" customFormat="1" ht="33.75">
      <c r="B155" s="148" t="s">
        <v>812</v>
      </c>
      <c r="C155" s="149" t="s">
        <v>565</v>
      </c>
      <c r="D155" s="179"/>
      <c r="E155" s="227" t="s">
        <v>580</v>
      </c>
      <c r="F155" s="198" t="s">
        <v>33</v>
      </c>
      <c r="G155" s="228">
        <v>1</v>
      </c>
      <c r="H155" s="228"/>
      <c r="I155" s="228"/>
      <c r="J155" s="228"/>
      <c r="K155" s="228"/>
      <c r="L155" s="154">
        <f>SUM(G155:K155)</f>
        <v>1</v>
      </c>
      <c r="M155" s="225">
        <f t="shared" si="47"/>
        <v>64.4525</v>
      </c>
      <c r="N155" s="225">
        <f t="shared" si="48"/>
        <v>193.35750000000002</v>
      </c>
      <c r="O155" s="155">
        <f t="shared" si="49"/>
        <v>64.45</v>
      </c>
      <c r="P155" s="155">
        <f t="shared" si="50"/>
        <v>193.35</v>
      </c>
      <c r="Q155" s="226">
        <f t="shared" si="51"/>
        <v>257.8</v>
      </c>
      <c r="U155" s="123">
        <v>203</v>
      </c>
      <c r="X155" s="111">
        <f>(L155*M155)+(L155*N155)-(Q155)</f>
        <v>0.009999999999990905</v>
      </c>
    </row>
    <row r="156" spans="2:24" s="111" customFormat="1" ht="22.5">
      <c r="B156" s="148" t="s">
        <v>813</v>
      </c>
      <c r="C156" s="229" t="s">
        <v>578</v>
      </c>
      <c r="D156" s="179" t="s">
        <v>17</v>
      </c>
      <c r="E156" s="199" t="s">
        <v>577</v>
      </c>
      <c r="F156" s="198" t="s">
        <v>33</v>
      </c>
      <c r="G156" s="228">
        <v>1</v>
      </c>
      <c r="H156" s="228"/>
      <c r="I156" s="228"/>
      <c r="J156" s="228"/>
      <c r="K156" s="228"/>
      <c r="L156" s="154">
        <f>SUM(G156:K156)</f>
        <v>1</v>
      </c>
      <c r="M156" s="225">
        <f>'COMP.2'!K16</f>
        <v>2164.563</v>
      </c>
      <c r="N156" s="225">
        <f>'COMP.2'!K17</f>
        <v>6493.675500000001</v>
      </c>
      <c r="O156" s="155">
        <f t="shared" si="49"/>
        <v>2164.56</v>
      </c>
      <c r="P156" s="155">
        <f t="shared" si="50"/>
        <v>6493.67</v>
      </c>
      <c r="Q156" s="226">
        <f t="shared" si="51"/>
        <v>8658.23</v>
      </c>
      <c r="U156" s="114"/>
      <c r="X156" s="111">
        <f>(L156*M156)+(L156*N156)-(Q156)</f>
        <v>0.008500000001731678</v>
      </c>
    </row>
    <row r="157" spans="2:23" s="111" customFormat="1" ht="12.75">
      <c r="B157" s="182"/>
      <c r="C157" s="158"/>
      <c r="D157" s="190"/>
      <c r="E157" s="160" t="s">
        <v>322</v>
      </c>
      <c r="F157" s="183"/>
      <c r="G157" s="174"/>
      <c r="H157" s="174"/>
      <c r="I157" s="174"/>
      <c r="J157" s="174"/>
      <c r="K157" s="174"/>
      <c r="L157" s="161"/>
      <c r="M157" s="161"/>
      <c r="N157" s="161"/>
      <c r="O157" s="162">
        <f>SUM(O145:O156)</f>
        <v>6049.709999999999</v>
      </c>
      <c r="P157" s="162">
        <f>SUM(P145:P156)</f>
        <v>18149.230000000003</v>
      </c>
      <c r="Q157" s="163">
        <f>TRUNC(SUM(Q145:Q156),2)</f>
        <v>24198.94</v>
      </c>
      <c r="U157" s="114"/>
      <c r="W157" s="116">
        <f>Q157</f>
        <v>24198.94</v>
      </c>
    </row>
    <row r="158" spans="2:24" s="111" customFormat="1" ht="12.75">
      <c r="B158" s="164" t="s">
        <v>576</v>
      </c>
      <c r="C158" s="219"/>
      <c r="D158" s="168"/>
      <c r="E158" s="222" t="s">
        <v>575</v>
      </c>
      <c r="F158" s="185"/>
      <c r="G158" s="186"/>
      <c r="H158" s="186"/>
      <c r="I158" s="186"/>
      <c r="J158" s="186"/>
      <c r="K158" s="186"/>
      <c r="L158" s="187"/>
      <c r="M158" s="187"/>
      <c r="N158" s="187"/>
      <c r="O158" s="187"/>
      <c r="P158" s="187"/>
      <c r="Q158" s="188"/>
      <c r="U158" s="114"/>
      <c r="X158" s="111">
        <f aca="true" t="shared" si="52" ref="X158:X188">(L158*M158)+(L158*N158)-(Q158)</f>
        <v>0</v>
      </c>
    </row>
    <row r="159" spans="2:24" s="111" customFormat="1" ht="33.75">
      <c r="B159" s="148" t="s">
        <v>574</v>
      </c>
      <c r="C159" s="149" t="s">
        <v>565</v>
      </c>
      <c r="D159" s="179"/>
      <c r="E159" s="199" t="s">
        <v>573</v>
      </c>
      <c r="F159" s="152" t="s">
        <v>228</v>
      </c>
      <c r="G159" s="153"/>
      <c r="H159" s="153"/>
      <c r="I159" s="153"/>
      <c r="J159" s="153"/>
      <c r="K159" s="153">
        <v>76.79</v>
      </c>
      <c r="L159" s="154">
        <f aca="true" t="shared" si="53" ref="L159:L166">SUM(G159:K159)</f>
        <v>76.79</v>
      </c>
      <c r="M159" s="155">
        <f aca="true" t="shared" si="54" ref="M159:M166">U159*(1+$L$199/100)*0.25</f>
        <v>30.27045</v>
      </c>
      <c r="N159" s="155">
        <f aca="true" t="shared" si="55" ref="N159:N166">U159*(1+$L$199/100)*0.75</f>
        <v>90.81135</v>
      </c>
      <c r="O159" s="155">
        <f aca="true" t="shared" si="56" ref="O159:O166">TRUNC(L159*M159,2)</f>
        <v>2324.46</v>
      </c>
      <c r="P159" s="155">
        <f aca="true" t="shared" si="57" ref="P159:P166">TRUNC(L159*N159,2)</f>
        <v>6973.4</v>
      </c>
      <c r="Q159" s="156">
        <f aca="true" t="shared" si="58" ref="Q159:Q166">SUM(O159:P159)</f>
        <v>9297.86</v>
      </c>
      <c r="U159" s="114">
        <f>91+4.34</f>
        <v>95.34</v>
      </c>
      <c r="X159" s="111">
        <f t="shared" si="52"/>
        <v>0.011421999999583932</v>
      </c>
    </row>
    <row r="160" spans="2:24" s="111" customFormat="1" ht="33.75">
      <c r="B160" s="148" t="s">
        <v>572</v>
      </c>
      <c r="C160" s="149" t="s">
        <v>565</v>
      </c>
      <c r="D160" s="179"/>
      <c r="E160" s="199" t="s">
        <v>571</v>
      </c>
      <c r="F160" s="152" t="s">
        <v>228</v>
      </c>
      <c r="G160" s="153"/>
      <c r="H160" s="153"/>
      <c r="I160" s="153"/>
      <c r="J160" s="153"/>
      <c r="K160" s="153">
        <v>131.25</v>
      </c>
      <c r="L160" s="154">
        <f t="shared" si="53"/>
        <v>131.25</v>
      </c>
      <c r="M160" s="155">
        <f t="shared" si="54"/>
        <v>43.28795</v>
      </c>
      <c r="N160" s="155">
        <f t="shared" si="55"/>
        <v>129.86385</v>
      </c>
      <c r="O160" s="155">
        <f t="shared" si="56"/>
        <v>5681.54</v>
      </c>
      <c r="P160" s="155">
        <f t="shared" si="57"/>
        <v>17044.63</v>
      </c>
      <c r="Q160" s="156">
        <f t="shared" si="58"/>
        <v>22726.170000000002</v>
      </c>
      <c r="R160" s="124"/>
      <c r="U160" s="114">
        <f>132+4.34</f>
        <v>136.34</v>
      </c>
      <c r="X160" s="111">
        <f t="shared" si="52"/>
        <v>0.003749999999854481</v>
      </c>
    </row>
    <row r="161" spans="2:24" s="111" customFormat="1" ht="33.75">
      <c r="B161" s="148" t="s">
        <v>570</v>
      </c>
      <c r="C161" s="149" t="s">
        <v>565</v>
      </c>
      <c r="D161" s="150"/>
      <c r="E161" s="171" t="s">
        <v>569</v>
      </c>
      <c r="F161" s="198" t="s">
        <v>33</v>
      </c>
      <c r="G161" s="153"/>
      <c r="H161" s="153"/>
      <c r="I161" s="153"/>
      <c r="J161" s="153"/>
      <c r="K161" s="153">
        <v>38</v>
      </c>
      <c r="L161" s="154">
        <f t="shared" si="53"/>
        <v>38</v>
      </c>
      <c r="M161" s="155">
        <f t="shared" si="54"/>
        <v>24.872950000000003</v>
      </c>
      <c r="N161" s="155">
        <f t="shared" si="55"/>
        <v>74.61885000000001</v>
      </c>
      <c r="O161" s="155">
        <f t="shared" si="56"/>
        <v>945.17</v>
      </c>
      <c r="P161" s="155">
        <f t="shared" si="57"/>
        <v>2835.51</v>
      </c>
      <c r="Q161" s="156">
        <f t="shared" si="58"/>
        <v>3780.6800000000003</v>
      </c>
      <c r="R161" s="124"/>
      <c r="U161" s="114">
        <f>74+4.34</f>
        <v>78.34</v>
      </c>
      <c r="X161" s="111">
        <f t="shared" si="52"/>
        <v>0.008400000000165164</v>
      </c>
    </row>
    <row r="162" spans="2:24" s="111" customFormat="1" ht="56.25">
      <c r="B162" s="148" t="s">
        <v>568</v>
      </c>
      <c r="C162" s="149">
        <v>87473</v>
      </c>
      <c r="D162" s="150" t="s">
        <v>17</v>
      </c>
      <c r="E162" s="171" t="s">
        <v>567</v>
      </c>
      <c r="F162" s="152" t="s">
        <v>228</v>
      </c>
      <c r="G162" s="153"/>
      <c r="H162" s="153"/>
      <c r="I162" s="153"/>
      <c r="J162" s="153"/>
      <c r="K162" s="153">
        <f>55.84+(96.24*0.8)</f>
        <v>132.832</v>
      </c>
      <c r="L162" s="154">
        <f t="shared" si="53"/>
        <v>132.832</v>
      </c>
      <c r="M162" s="155">
        <f t="shared" si="54"/>
        <v>16.024225</v>
      </c>
      <c r="N162" s="155">
        <f t="shared" si="55"/>
        <v>48.072675000000004</v>
      </c>
      <c r="O162" s="155">
        <f t="shared" si="56"/>
        <v>2128.52</v>
      </c>
      <c r="P162" s="155">
        <f t="shared" si="57"/>
        <v>6385.58</v>
      </c>
      <c r="Q162" s="156">
        <f t="shared" si="58"/>
        <v>8514.1</v>
      </c>
      <c r="R162" s="124"/>
      <c r="U162" s="114">
        <v>50.47</v>
      </c>
      <c r="X162" s="111">
        <f t="shared" si="52"/>
        <v>0.01942079999935231</v>
      </c>
    </row>
    <row r="163" spans="2:24" s="111" customFormat="1" ht="33.75">
      <c r="B163" s="148" t="s">
        <v>378</v>
      </c>
      <c r="C163" s="149" t="s">
        <v>294</v>
      </c>
      <c r="D163" s="150" t="s">
        <v>17</v>
      </c>
      <c r="E163" s="172" t="s">
        <v>320</v>
      </c>
      <c r="F163" s="168" t="s">
        <v>33</v>
      </c>
      <c r="G163" s="153"/>
      <c r="H163" s="153"/>
      <c r="I163" s="153"/>
      <c r="J163" s="153"/>
      <c r="K163" s="153">
        <v>1</v>
      </c>
      <c r="L163" s="154">
        <f t="shared" si="53"/>
        <v>1</v>
      </c>
      <c r="M163" s="155">
        <f t="shared" si="54"/>
        <v>1669.5565748375</v>
      </c>
      <c r="N163" s="155">
        <f t="shared" si="55"/>
        <v>5008.6697245125</v>
      </c>
      <c r="O163" s="155">
        <f t="shared" si="56"/>
        <v>1669.55</v>
      </c>
      <c r="P163" s="155">
        <f t="shared" si="57"/>
        <v>5008.66</v>
      </c>
      <c r="Q163" s="156">
        <f t="shared" si="58"/>
        <v>6678.21</v>
      </c>
      <c r="R163" s="124"/>
      <c r="U163" s="108">
        <v>5258.445905</v>
      </c>
      <c r="X163" s="111">
        <f t="shared" si="52"/>
        <v>0.016299349999826518</v>
      </c>
    </row>
    <row r="164" spans="2:24" s="111" customFormat="1" ht="33.75">
      <c r="B164" s="148" t="s">
        <v>566</v>
      </c>
      <c r="C164" s="149" t="s">
        <v>565</v>
      </c>
      <c r="D164" s="179"/>
      <c r="E164" s="199" t="s">
        <v>564</v>
      </c>
      <c r="F164" s="152" t="s">
        <v>228</v>
      </c>
      <c r="G164" s="153"/>
      <c r="H164" s="153"/>
      <c r="I164" s="153"/>
      <c r="J164" s="153"/>
      <c r="K164" s="153">
        <v>2</v>
      </c>
      <c r="L164" s="154">
        <f t="shared" si="53"/>
        <v>2</v>
      </c>
      <c r="M164" s="155">
        <f t="shared" si="54"/>
        <v>3175</v>
      </c>
      <c r="N164" s="155">
        <f t="shared" si="55"/>
        <v>9525</v>
      </c>
      <c r="O164" s="155">
        <f t="shared" si="56"/>
        <v>6350</v>
      </c>
      <c r="P164" s="155">
        <f t="shared" si="57"/>
        <v>19050</v>
      </c>
      <c r="Q164" s="156">
        <f t="shared" si="58"/>
        <v>25400</v>
      </c>
      <c r="R164" s="124"/>
      <c r="U164" s="114">
        <v>10000</v>
      </c>
      <c r="X164" s="111">
        <f t="shared" si="52"/>
        <v>0</v>
      </c>
    </row>
    <row r="165" spans="2:24" s="111" customFormat="1" ht="22.5">
      <c r="B165" s="148" t="s">
        <v>563</v>
      </c>
      <c r="C165" s="149">
        <v>85188</v>
      </c>
      <c r="D165" s="150" t="s">
        <v>17</v>
      </c>
      <c r="E165" s="199" t="s">
        <v>562</v>
      </c>
      <c r="F165" s="152" t="s">
        <v>228</v>
      </c>
      <c r="G165" s="153"/>
      <c r="H165" s="153"/>
      <c r="I165" s="153"/>
      <c r="J165" s="153"/>
      <c r="K165" s="153">
        <v>1</v>
      </c>
      <c r="L165" s="154">
        <f t="shared" si="53"/>
        <v>1</v>
      </c>
      <c r="M165" s="155">
        <f t="shared" si="54"/>
        <v>181.24805</v>
      </c>
      <c r="N165" s="155">
        <f t="shared" si="55"/>
        <v>543.74415</v>
      </c>
      <c r="O165" s="155">
        <f t="shared" si="56"/>
        <v>181.24</v>
      </c>
      <c r="P165" s="155">
        <f t="shared" si="57"/>
        <v>543.74</v>
      </c>
      <c r="Q165" s="156">
        <f t="shared" si="58"/>
        <v>724.98</v>
      </c>
      <c r="R165" s="124"/>
      <c r="U165" s="114">
        <v>570.86</v>
      </c>
      <c r="X165" s="111">
        <f t="shared" si="52"/>
        <v>0.012200000000007094</v>
      </c>
    </row>
    <row r="166" spans="2:24" s="111" customFormat="1" ht="12.75">
      <c r="B166" s="148" t="s">
        <v>561</v>
      </c>
      <c r="C166" s="149">
        <v>85179</v>
      </c>
      <c r="D166" s="179" t="s">
        <v>17</v>
      </c>
      <c r="E166" s="199" t="s">
        <v>560</v>
      </c>
      <c r="F166" s="152" t="s">
        <v>228</v>
      </c>
      <c r="G166" s="153"/>
      <c r="H166" s="153"/>
      <c r="I166" s="153"/>
      <c r="J166" s="153"/>
      <c r="K166" s="153">
        <v>272.43</v>
      </c>
      <c r="L166" s="154">
        <f t="shared" si="53"/>
        <v>272.43</v>
      </c>
      <c r="M166" s="155">
        <f t="shared" si="54"/>
        <v>5.4737</v>
      </c>
      <c r="N166" s="155">
        <f t="shared" si="55"/>
        <v>16.4211</v>
      </c>
      <c r="O166" s="155">
        <f t="shared" si="56"/>
        <v>1491.2</v>
      </c>
      <c r="P166" s="155">
        <f t="shared" si="57"/>
        <v>4473.6</v>
      </c>
      <c r="Q166" s="156">
        <f t="shared" si="58"/>
        <v>5964.8</v>
      </c>
      <c r="R166" s="124"/>
      <c r="U166" s="114">
        <v>17.24</v>
      </c>
      <c r="X166" s="111">
        <f t="shared" si="52"/>
        <v>0.0003639999995357357</v>
      </c>
    </row>
    <row r="167" spans="2:23" s="111" customFormat="1" ht="12.75">
      <c r="B167" s="157"/>
      <c r="C167" s="158"/>
      <c r="D167" s="190"/>
      <c r="E167" s="160" t="s">
        <v>374</v>
      </c>
      <c r="F167" s="160"/>
      <c r="G167" s="230"/>
      <c r="H167" s="230"/>
      <c r="I167" s="230"/>
      <c r="J167" s="230"/>
      <c r="K167" s="230"/>
      <c r="L167" s="161"/>
      <c r="M167" s="161"/>
      <c r="N167" s="161"/>
      <c r="O167" s="162">
        <f>SUM(O159:O166)</f>
        <v>20771.68</v>
      </c>
      <c r="P167" s="162">
        <f>SUM(P159:P166)</f>
        <v>62315.119999999995</v>
      </c>
      <c r="Q167" s="163">
        <f>TRUNC(SUM(Q159:Q166),2)</f>
        <v>83086.8</v>
      </c>
      <c r="U167" s="114"/>
      <c r="W167" s="116">
        <f>Q167</f>
        <v>83086.8</v>
      </c>
    </row>
    <row r="168" spans="2:24" s="111" customFormat="1" ht="12.75">
      <c r="B168" s="164" t="s">
        <v>559</v>
      </c>
      <c r="C168" s="219"/>
      <c r="D168" s="168"/>
      <c r="E168" s="222" t="s">
        <v>558</v>
      </c>
      <c r="F168" s="185"/>
      <c r="G168" s="186"/>
      <c r="H168" s="186"/>
      <c r="I168" s="186"/>
      <c r="J168" s="186"/>
      <c r="K168" s="186"/>
      <c r="L168" s="187"/>
      <c r="M168" s="187"/>
      <c r="N168" s="187"/>
      <c r="O168" s="187"/>
      <c r="P168" s="187"/>
      <c r="Q168" s="188"/>
      <c r="U168" s="125"/>
      <c r="X168" s="111">
        <f t="shared" si="52"/>
        <v>0</v>
      </c>
    </row>
    <row r="169" spans="2:24" s="111" customFormat="1" ht="12.75">
      <c r="B169" s="148" t="s">
        <v>557</v>
      </c>
      <c r="C169" s="149">
        <v>9537</v>
      </c>
      <c r="D169" s="179" t="s">
        <v>17</v>
      </c>
      <c r="E169" s="199" t="s">
        <v>556</v>
      </c>
      <c r="F169" s="152" t="s">
        <v>228</v>
      </c>
      <c r="G169" s="153">
        <f>G15</f>
        <v>246.4</v>
      </c>
      <c r="H169" s="153">
        <v>689</v>
      </c>
      <c r="I169" s="153">
        <v>166.62</v>
      </c>
      <c r="J169" s="153">
        <v>9.62</v>
      </c>
      <c r="K169" s="153">
        <v>2631.85</v>
      </c>
      <c r="L169" s="154">
        <f>SUM(G169:K169)</f>
        <v>3743.49</v>
      </c>
      <c r="M169" s="155">
        <f>U169*(1+$L$199/100)*0.25</f>
        <v>0.7239</v>
      </c>
      <c r="N169" s="155">
        <f>U169*(1+$L$199/100)*0.75</f>
        <v>2.1717</v>
      </c>
      <c r="O169" s="155">
        <f>TRUNC(L169*M169,2)</f>
        <v>2709.91</v>
      </c>
      <c r="P169" s="155">
        <f>TRUNC(L169*N169,2)</f>
        <v>8129.73</v>
      </c>
      <c r="Q169" s="156">
        <f>SUM(O169:P169)</f>
        <v>10839.64</v>
      </c>
      <c r="U169" s="125">
        <v>2.28</v>
      </c>
      <c r="X169" s="111">
        <f t="shared" si="52"/>
        <v>0.00964399999975285</v>
      </c>
    </row>
    <row r="170" spans="2:23" s="111" customFormat="1" ht="12.75">
      <c r="B170" s="157"/>
      <c r="C170" s="158"/>
      <c r="D170" s="190"/>
      <c r="E170" s="160" t="s">
        <v>374</v>
      </c>
      <c r="F170" s="160"/>
      <c r="G170" s="230"/>
      <c r="H170" s="230"/>
      <c r="I170" s="230"/>
      <c r="J170" s="230"/>
      <c r="K170" s="230"/>
      <c r="L170" s="161"/>
      <c r="M170" s="161"/>
      <c r="N170" s="161"/>
      <c r="O170" s="162">
        <f>SUM(O169:O169)</f>
        <v>2709.91</v>
      </c>
      <c r="P170" s="162">
        <f>SUM(P169:P169)</f>
        <v>8129.73</v>
      </c>
      <c r="Q170" s="163">
        <f>TRUNC(SUM(Q169:Q169),2)</f>
        <v>10839.64</v>
      </c>
      <c r="U170" s="125"/>
      <c r="W170" s="116">
        <f>Q170</f>
        <v>10839.64</v>
      </c>
    </row>
    <row r="171" spans="2:24" s="111" customFormat="1" ht="12.75">
      <c r="B171" s="164" t="s">
        <v>555</v>
      </c>
      <c r="C171" s="219"/>
      <c r="D171" s="168"/>
      <c r="E171" s="222" t="s">
        <v>554</v>
      </c>
      <c r="F171" s="185"/>
      <c r="G171" s="186"/>
      <c r="H171" s="186"/>
      <c r="I171" s="186"/>
      <c r="J171" s="186"/>
      <c r="K171" s="186"/>
      <c r="L171" s="187"/>
      <c r="M171" s="187"/>
      <c r="N171" s="187"/>
      <c r="O171" s="187"/>
      <c r="P171" s="187"/>
      <c r="Q171" s="188"/>
      <c r="U171" s="114"/>
      <c r="X171" s="111">
        <f t="shared" si="52"/>
        <v>0</v>
      </c>
    </row>
    <row r="172" spans="2:24" s="111" customFormat="1" ht="22.5">
      <c r="B172" s="148" t="s">
        <v>553</v>
      </c>
      <c r="C172" s="149">
        <v>88316</v>
      </c>
      <c r="D172" s="168" t="s">
        <v>17</v>
      </c>
      <c r="E172" s="199" t="s">
        <v>552</v>
      </c>
      <c r="F172" s="198" t="s">
        <v>25</v>
      </c>
      <c r="G172" s="209"/>
      <c r="H172" s="209"/>
      <c r="I172" s="209"/>
      <c r="J172" s="209"/>
      <c r="K172" s="209"/>
      <c r="L172" s="154">
        <f>((1*1*1)+(0.7*0.7*0.2))*4*2.55</f>
        <v>11.1996</v>
      </c>
      <c r="M172" s="155">
        <f>U172*(1+$L$199/100)*0.25</f>
        <v>4.76885</v>
      </c>
      <c r="N172" s="155">
        <f>U172*(1+$L$199/100)*0.75</f>
        <v>14.306549999999998</v>
      </c>
      <c r="O172" s="155">
        <f aca="true" t="shared" si="59" ref="O172:O188">TRUNC(L172*M172,2)</f>
        <v>53.4</v>
      </c>
      <c r="P172" s="155">
        <f aca="true" t="shared" si="60" ref="P172:P188">TRUNC(L172*N172,2)</f>
        <v>160.22</v>
      </c>
      <c r="Q172" s="156">
        <f aca="true" t="shared" si="61" ref="Q172:Q188">SUM(O172:P172)</f>
        <v>213.62</v>
      </c>
      <c r="U172" s="114">
        <v>15.02</v>
      </c>
      <c r="X172" s="111">
        <f t="shared" si="52"/>
        <v>0.01684983999996348</v>
      </c>
    </row>
    <row r="173" spans="2:24" s="111" customFormat="1" ht="22.5">
      <c r="B173" s="148" t="s">
        <v>551</v>
      </c>
      <c r="C173" s="149" t="s">
        <v>149</v>
      </c>
      <c r="D173" s="150" t="s">
        <v>17</v>
      </c>
      <c r="E173" s="171" t="s">
        <v>150</v>
      </c>
      <c r="F173" s="152" t="s">
        <v>148</v>
      </c>
      <c r="G173" s="209"/>
      <c r="H173" s="209"/>
      <c r="I173" s="209"/>
      <c r="J173" s="209"/>
      <c r="K173" s="209"/>
      <c r="L173" s="154">
        <f>((1*1*1)+(0.7*0.7*0.2))*4</f>
        <v>4.392</v>
      </c>
      <c r="M173" s="155">
        <f>U173*(1+$L$199/100)*0.25</f>
        <v>355.685725</v>
      </c>
      <c r="N173" s="155">
        <f>U173*(1+$L$199/100)*0.75</f>
        <v>1067.057175</v>
      </c>
      <c r="O173" s="155">
        <f t="shared" si="59"/>
        <v>1562.17</v>
      </c>
      <c r="P173" s="155">
        <f t="shared" si="60"/>
        <v>4686.51</v>
      </c>
      <c r="Q173" s="226">
        <f t="shared" si="61"/>
        <v>6248.68</v>
      </c>
      <c r="R173" s="112"/>
      <c r="U173" s="123">
        <f>'COMP.1'!K19</f>
        <v>1120.27</v>
      </c>
      <c r="X173" s="111">
        <f t="shared" si="52"/>
        <v>0.006816799999796785</v>
      </c>
    </row>
    <row r="174" spans="2:24" s="111" customFormat="1" ht="56.25">
      <c r="B174" s="148" t="s">
        <v>550</v>
      </c>
      <c r="C174" s="179">
        <v>72110</v>
      </c>
      <c r="D174" s="179" t="s">
        <v>17</v>
      </c>
      <c r="E174" s="227" t="s">
        <v>549</v>
      </c>
      <c r="F174" s="152" t="s">
        <v>228</v>
      </c>
      <c r="G174" s="228"/>
      <c r="H174" s="228"/>
      <c r="I174" s="228"/>
      <c r="J174" s="228"/>
      <c r="K174" s="228"/>
      <c r="L174" s="154">
        <v>156.48</v>
      </c>
      <c r="M174" s="155">
        <f>U174*(1+$L$199/100)*0.25</f>
        <v>18.37055</v>
      </c>
      <c r="N174" s="155">
        <f>U174*(1+$L$199/100)*0.75</f>
        <v>55.111650000000004</v>
      </c>
      <c r="O174" s="155">
        <f t="shared" si="59"/>
        <v>2874.62</v>
      </c>
      <c r="P174" s="155">
        <f t="shared" si="60"/>
        <v>8623.87</v>
      </c>
      <c r="Q174" s="156">
        <f t="shared" si="61"/>
        <v>11498.490000000002</v>
      </c>
      <c r="U174" s="114">
        <v>57.86</v>
      </c>
      <c r="X174" s="111">
        <f t="shared" si="52"/>
        <v>0.0046559999991586665</v>
      </c>
    </row>
    <row r="175" spans="2:24" s="111" customFormat="1" ht="12.75">
      <c r="B175" s="148" t="s">
        <v>548</v>
      </c>
      <c r="C175" s="179" t="s">
        <v>547</v>
      </c>
      <c r="D175" s="179" t="s">
        <v>17</v>
      </c>
      <c r="E175" s="227" t="s">
        <v>546</v>
      </c>
      <c r="F175" s="198" t="s">
        <v>33</v>
      </c>
      <c r="G175" s="228"/>
      <c r="H175" s="228"/>
      <c r="I175" s="228"/>
      <c r="J175" s="228"/>
      <c r="K175" s="228"/>
      <c r="L175" s="154">
        <v>4</v>
      </c>
      <c r="M175" s="155">
        <f>U175*(1+$L$199/100)*0.25</f>
        <v>51.57658467999999</v>
      </c>
      <c r="N175" s="155">
        <f>U175*(1+$L$199/100)*0.75</f>
        <v>154.72975403999996</v>
      </c>
      <c r="O175" s="155">
        <f t="shared" si="59"/>
        <v>206.3</v>
      </c>
      <c r="P175" s="155">
        <f t="shared" si="60"/>
        <v>618.91</v>
      </c>
      <c r="Q175" s="156">
        <f t="shared" si="61"/>
        <v>825.21</v>
      </c>
      <c r="U175" s="114">
        <f>'COMP.5'!K21</f>
        <v>162.44593599999996</v>
      </c>
      <c r="X175" s="111">
        <f t="shared" si="52"/>
        <v>0.015354879999790683</v>
      </c>
    </row>
    <row r="176" spans="2:24" s="111" customFormat="1" ht="12.75">
      <c r="B176" s="148" t="s">
        <v>545</v>
      </c>
      <c r="C176" s="179" t="s">
        <v>544</v>
      </c>
      <c r="D176" s="200" t="s">
        <v>17</v>
      </c>
      <c r="E176" s="227" t="s">
        <v>543</v>
      </c>
      <c r="F176" s="198" t="s">
        <v>33</v>
      </c>
      <c r="G176" s="228"/>
      <c r="H176" s="228"/>
      <c r="I176" s="228"/>
      <c r="J176" s="228"/>
      <c r="K176" s="228"/>
      <c r="L176" s="154">
        <v>4</v>
      </c>
      <c r="M176" s="155">
        <v>252.38</v>
      </c>
      <c r="N176" s="155">
        <v>757.14</v>
      </c>
      <c r="O176" s="155">
        <f t="shared" si="59"/>
        <v>1009.52</v>
      </c>
      <c r="P176" s="155">
        <f t="shared" si="60"/>
        <v>3028.56</v>
      </c>
      <c r="Q176" s="156">
        <f t="shared" si="61"/>
        <v>4038.08</v>
      </c>
      <c r="U176" s="114">
        <f>'COMP.6'!K21</f>
        <v>1002.987687</v>
      </c>
      <c r="X176" s="111">
        <f t="shared" si="52"/>
        <v>0</v>
      </c>
    </row>
    <row r="177" spans="2:24" s="111" customFormat="1" ht="22.5">
      <c r="B177" s="148" t="s">
        <v>171</v>
      </c>
      <c r="C177" s="149">
        <v>94213</v>
      </c>
      <c r="D177" s="179" t="s">
        <v>17</v>
      </c>
      <c r="E177" s="227" t="s">
        <v>541</v>
      </c>
      <c r="F177" s="152" t="s">
        <v>228</v>
      </c>
      <c r="G177" s="228"/>
      <c r="H177" s="228"/>
      <c r="I177" s="228"/>
      <c r="J177" s="228"/>
      <c r="K177" s="228"/>
      <c r="L177" s="154">
        <f>146.88+69.3</f>
        <v>216.18</v>
      </c>
      <c r="M177" s="155">
        <f aca="true" t="shared" si="62" ref="M177:M188">U177*(1+$L$199/100)*0.25</f>
        <v>12.6365</v>
      </c>
      <c r="N177" s="155">
        <f aca="true" t="shared" si="63" ref="N177:N188">U177*(1+$L$199/100)*0.75</f>
        <v>37.9095</v>
      </c>
      <c r="O177" s="155">
        <f t="shared" si="59"/>
        <v>2731.75</v>
      </c>
      <c r="P177" s="155">
        <f t="shared" si="60"/>
        <v>8195.27</v>
      </c>
      <c r="Q177" s="226">
        <f t="shared" si="61"/>
        <v>10927.02</v>
      </c>
      <c r="U177" s="123">
        <v>39.8</v>
      </c>
      <c r="X177" s="111">
        <f t="shared" si="52"/>
        <v>0.01427999999941676</v>
      </c>
    </row>
    <row r="178" spans="2:24" s="111" customFormat="1" ht="33.75">
      <c r="B178" s="148" t="s">
        <v>542</v>
      </c>
      <c r="C178" s="149" t="s">
        <v>539</v>
      </c>
      <c r="D178" s="179" t="s">
        <v>17</v>
      </c>
      <c r="E178" s="227" t="s">
        <v>538</v>
      </c>
      <c r="F178" s="152" t="s">
        <v>33</v>
      </c>
      <c r="G178" s="228"/>
      <c r="H178" s="228"/>
      <c r="I178" s="228"/>
      <c r="J178" s="228"/>
      <c r="K178" s="228"/>
      <c r="L178" s="154">
        <v>6</v>
      </c>
      <c r="M178" s="155">
        <f t="shared" si="62"/>
        <v>80.940275</v>
      </c>
      <c r="N178" s="155">
        <f t="shared" si="63"/>
        <v>242.820825</v>
      </c>
      <c r="O178" s="155">
        <f t="shared" si="59"/>
        <v>485.64</v>
      </c>
      <c r="P178" s="155">
        <f t="shared" si="60"/>
        <v>1456.92</v>
      </c>
      <c r="Q178" s="226">
        <f t="shared" si="61"/>
        <v>1942.56</v>
      </c>
      <c r="U178" s="123">
        <v>254.93</v>
      </c>
      <c r="X178" s="111">
        <f t="shared" si="52"/>
        <v>0.006600000000162254</v>
      </c>
    </row>
    <row r="179" spans="2:24" s="111" customFormat="1" ht="33.75">
      <c r="B179" s="148" t="s">
        <v>540</v>
      </c>
      <c r="C179" s="149">
        <v>91926</v>
      </c>
      <c r="D179" s="179" t="s">
        <v>17</v>
      </c>
      <c r="E179" s="227" t="s">
        <v>536</v>
      </c>
      <c r="F179" s="152" t="s">
        <v>126</v>
      </c>
      <c r="G179" s="228"/>
      <c r="H179" s="228"/>
      <c r="I179" s="228"/>
      <c r="J179" s="228"/>
      <c r="K179" s="228"/>
      <c r="L179" s="154">
        <v>90</v>
      </c>
      <c r="M179" s="155">
        <f t="shared" si="62"/>
        <v>0.898525</v>
      </c>
      <c r="N179" s="155">
        <f t="shared" si="63"/>
        <v>2.695575</v>
      </c>
      <c r="O179" s="155">
        <f t="shared" si="59"/>
        <v>80.86</v>
      </c>
      <c r="P179" s="155">
        <f t="shared" si="60"/>
        <v>242.6</v>
      </c>
      <c r="Q179" s="226">
        <f t="shared" si="61"/>
        <v>323.46</v>
      </c>
      <c r="U179" s="123">
        <v>2.83</v>
      </c>
      <c r="X179" s="111">
        <f t="shared" si="52"/>
        <v>0.009000000000014552</v>
      </c>
    </row>
    <row r="180" spans="2:24" s="111" customFormat="1" ht="33.75">
      <c r="B180" s="148" t="s">
        <v>537</v>
      </c>
      <c r="C180" s="149">
        <v>91862</v>
      </c>
      <c r="D180" s="179" t="s">
        <v>17</v>
      </c>
      <c r="E180" s="227" t="s">
        <v>534</v>
      </c>
      <c r="F180" s="152" t="s">
        <v>126</v>
      </c>
      <c r="G180" s="228"/>
      <c r="H180" s="228"/>
      <c r="I180" s="228"/>
      <c r="J180" s="228"/>
      <c r="K180" s="228"/>
      <c r="L180" s="154">
        <v>30.2</v>
      </c>
      <c r="M180" s="155">
        <f t="shared" si="62"/>
        <v>1.787525</v>
      </c>
      <c r="N180" s="155">
        <f t="shared" si="63"/>
        <v>5.362575</v>
      </c>
      <c r="O180" s="155">
        <f t="shared" si="59"/>
        <v>53.98</v>
      </c>
      <c r="P180" s="155">
        <f t="shared" si="60"/>
        <v>161.94</v>
      </c>
      <c r="Q180" s="226">
        <f t="shared" si="61"/>
        <v>215.92</v>
      </c>
      <c r="U180" s="123">
        <v>5.63</v>
      </c>
      <c r="X180" s="111">
        <f t="shared" si="52"/>
        <v>0.013020000000011578</v>
      </c>
    </row>
    <row r="181" spans="2:24" s="111" customFormat="1" ht="33.75">
      <c r="B181" s="148" t="s">
        <v>535</v>
      </c>
      <c r="C181" s="149">
        <v>95817</v>
      </c>
      <c r="D181" s="179" t="s">
        <v>17</v>
      </c>
      <c r="E181" s="227" t="s">
        <v>532</v>
      </c>
      <c r="F181" s="152" t="s">
        <v>33</v>
      </c>
      <c r="G181" s="228"/>
      <c r="H181" s="228"/>
      <c r="I181" s="228"/>
      <c r="J181" s="228"/>
      <c r="K181" s="228"/>
      <c r="L181" s="154">
        <v>11</v>
      </c>
      <c r="M181" s="155">
        <f t="shared" si="62"/>
        <v>7.210425000000001</v>
      </c>
      <c r="N181" s="155">
        <f t="shared" si="63"/>
        <v>21.631275000000002</v>
      </c>
      <c r="O181" s="155">
        <f t="shared" si="59"/>
        <v>79.31</v>
      </c>
      <c r="P181" s="155">
        <f t="shared" si="60"/>
        <v>237.94</v>
      </c>
      <c r="Q181" s="226">
        <f t="shared" si="61"/>
        <v>317.25</v>
      </c>
      <c r="U181" s="123">
        <v>22.71</v>
      </c>
      <c r="X181" s="111">
        <f t="shared" si="52"/>
        <v>0.008700000000033015</v>
      </c>
    </row>
    <row r="182" spans="2:24" s="111" customFormat="1" ht="33.75">
      <c r="B182" s="148" t="s">
        <v>533</v>
      </c>
      <c r="C182" s="149">
        <v>7543</v>
      </c>
      <c r="D182" s="179" t="s">
        <v>530</v>
      </c>
      <c r="E182" s="227" t="s">
        <v>529</v>
      </c>
      <c r="F182" s="152" t="s">
        <v>33</v>
      </c>
      <c r="G182" s="228"/>
      <c r="H182" s="228"/>
      <c r="I182" s="228"/>
      <c r="J182" s="228"/>
      <c r="K182" s="228"/>
      <c r="L182" s="154">
        <v>11</v>
      </c>
      <c r="M182" s="155">
        <f t="shared" si="62"/>
        <v>0.898525</v>
      </c>
      <c r="N182" s="155">
        <f t="shared" si="63"/>
        <v>2.695575</v>
      </c>
      <c r="O182" s="155">
        <f t="shared" si="59"/>
        <v>9.88</v>
      </c>
      <c r="P182" s="155">
        <f t="shared" si="60"/>
        <v>29.65</v>
      </c>
      <c r="Q182" s="226">
        <f t="shared" si="61"/>
        <v>39.53</v>
      </c>
      <c r="U182" s="123">
        <v>2.83</v>
      </c>
      <c r="X182" s="111">
        <f t="shared" si="52"/>
        <v>0.005099999999998772</v>
      </c>
    </row>
    <row r="183" spans="2:24" s="111" customFormat="1" ht="12.75">
      <c r="B183" s="148" t="s">
        <v>531</v>
      </c>
      <c r="C183" s="149" t="s">
        <v>161</v>
      </c>
      <c r="D183" s="200" t="s">
        <v>17</v>
      </c>
      <c r="E183" s="172" t="s">
        <v>163</v>
      </c>
      <c r="F183" s="168" t="s">
        <v>33</v>
      </c>
      <c r="G183" s="228"/>
      <c r="H183" s="228"/>
      <c r="I183" s="228"/>
      <c r="J183" s="228"/>
      <c r="K183" s="228"/>
      <c r="L183" s="154">
        <v>2</v>
      </c>
      <c r="M183" s="155">
        <f t="shared" si="62"/>
        <v>430.26244275000005</v>
      </c>
      <c r="N183" s="155">
        <f t="shared" si="63"/>
        <v>1290.7873282500002</v>
      </c>
      <c r="O183" s="155">
        <f t="shared" si="59"/>
        <v>860.52</v>
      </c>
      <c r="P183" s="155">
        <f t="shared" si="60"/>
        <v>2581.57</v>
      </c>
      <c r="Q183" s="226">
        <f t="shared" si="61"/>
        <v>3442.09</v>
      </c>
      <c r="U183" s="123">
        <v>1355.1573</v>
      </c>
      <c r="X183" s="111">
        <f t="shared" si="52"/>
        <v>0.00954200000023775</v>
      </c>
    </row>
    <row r="184" spans="2:24" s="111" customFormat="1" ht="12.75">
      <c r="B184" s="148" t="s">
        <v>796</v>
      </c>
      <c r="C184" s="149" t="s">
        <v>162</v>
      </c>
      <c r="D184" s="179" t="s">
        <v>17</v>
      </c>
      <c r="E184" s="172" t="s">
        <v>164</v>
      </c>
      <c r="F184" s="168" t="s">
        <v>33</v>
      </c>
      <c r="G184" s="228"/>
      <c r="H184" s="228"/>
      <c r="I184" s="228"/>
      <c r="J184" s="228"/>
      <c r="K184" s="228"/>
      <c r="L184" s="154">
        <v>2</v>
      </c>
      <c r="M184" s="155">
        <f t="shared" si="62"/>
        <v>209.74723989</v>
      </c>
      <c r="N184" s="155">
        <f t="shared" si="63"/>
        <v>629.2417196700001</v>
      </c>
      <c r="O184" s="155">
        <f t="shared" si="59"/>
        <v>419.49</v>
      </c>
      <c r="P184" s="155">
        <f t="shared" si="60"/>
        <v>1258.48</v>
      </c>
      <c r="Q184" s="226">
        <f t="shared" si="61"/>
        <v>1677.97</v>
      </c>
      <c r="U184" s="123">
        <v>660.621228</v>
      </c>
      <c r="X184" s="111">
        <f t="shared" si="52"/>
        <v>0.007919119999996838</v>
      </c>
    </row>
    <row r="185" spans="2:24" s="111" customFormat="1" ht="12.75">
      <c r="B185" s="148" t="s">
        <v>797</v>
      </c>
      <c r="C185" s="149" t="s">
        <v>167</v>
      </c>
      <c r="D185" s="179" t="s">
        <v>17</v>
      </c>
      <c r="E185" s="172" t="s">
        <v>169</v>
      </c>
      <c r="F185" s="168" t="s">
        <v>33</v>
      </c>
      <c r="G185" s="228"/>
      <c r="H185" s="228"/>
      <c r="I185" s="228"/>
      <c r="J185" s="228"/>
      <c r="K185" s="228"/>
      <c r="L185" s="154">
        <v>1</v>
      </c>
      <c r="M185" s="155">
        <f t="shared" si="62"/>
        <v>632.1930675899999</v>
      </c>
      <c r="N185" s="155">
        <f t="shared" si="63"/>
        <v>1896.57920277</v>
      </c>
      <c r="O185" s="155">
        <f t="shared" si="59"/>
        <v>632.19</v>
      </c>
      <c r="P185" s="155">
        <f t="shared" si="60"/>
        <v>1896.57</v>
      </c>
      <c r="Q185" s="226">
        <f t="shared" si="61"/>
        <v>2528.76</v>
      </c>
      <c r="U185" s="123">
        <v>1991.1592679999999</v>
      </c>
      <c r="X185" s="111">
        <f t="shared" si="52"/>
        <v>0.012270359999547509</v>
      </c>
    </row>
    <row r="186" spans="2:24" s="111" customFormat="1" ht="12.75">
      <c r="B186" s="148" t="s">
        <v>798</v>
      </c>
      <c r="C186" s="149" t="s">
        <v>168</v>
      </c>
      <c r="D186" s="179" t="s">
        <v>17</v>
      </c>
      <c r="E186" s="172" t="s">
        <v>170</v>
      </c>
      <c r="F186" s="168" t="s">
        <v>33</v>
      </c>
      <c r="G186" s="228"/>
      <c r="H186" s="228"/>
      <c r="I186" s="228"/>
      <c r="J186" s="228"/>
      <c r="K186" s="228"/>
      <c r="L186" s="154">
        <v>2</v>
      </c>
      <c r="M186" s="155">
        <f t="shared" si="62"/>
        <v>473.576878092</v>
      </c>
      <c r="N186" s="155">
        <f t="shared" si="63"/>
        <v>1420.730634276</v>
      </c>
      <c r="O186" s="155">
        <f t="shared" si="59"/>
        <v>947.15</v>
      </c>
      <c r="P186" s="155">
        <f t="shared" si="60"/>
        <v>2841.46</v>
      </c>
      <c r="Q186" s="226">
        <f t="shared" si="61"/>
        <v>3788.61</v>
      </c>
      <c r="U186" s="123">
        <v>1491.5807184</v>
      </c>
      <c r="X186" s="111">
        <f t="shared" si="52"/>
        <v>0.005024735999995755</v>
      </c>
    </row>
    <row r="187" spans="2:24" s="111" customFormat="1" ht="56.25">
      <c r="B187" s="148" t="s">
        <v>799</v>
      </c>
      <c r="C187" s="149" t="s">
        <v>217</v>
      </c>
      <c r="D187" s="179" t="s">
        <v>17</v>
      </c>
      <c r="E187" s="172" t="s">
        <v>238</v>
      </c>
      <c r="F187" s="168" t="s">
        <v>126</v>
      </c>
      <c r="G187" s="228"/>
      <c r="H187" s="228"/>
      <c r="I187" s="228"/>
      <c r="J187" s="228"/>
      <c r="K187" s="228"/>
      <c r="L187" s="154">
        <v>48</v>
      </c>
      <c r="M187" s="155">
        <f t="shared" si="62"/>
        <v>11.8492368425</v>
      </c>
      <c r="N187" s="155">
        <f t="shared" si="63"/>
        <v>35.5477105275</v>
      </c>
      <c r="O187" s="155">
        <f t="shared" si="59"/>
        <v>568.76</v>
      </c>
      <c r="P187" s="155">
        <f t="shared" si="60"/>
        <v>1706.29</v>
      </c>
      <c r="Q187" s="226">
        <f t="shared" si="61"/>
        <v>2275.05</v>
      </c>
      <c r="U187" s="123">
        <v>37.320431</v>
      </c>
      <c r="X187" s="111">
        <f t="shared" si="52"/>
        <v>0.0034737599999061786</v>
      </c>
    </row>
    <row r="188" spans="2:24" s="111" customFormat="1" ht="12.75">
      <c r="B188" s="148" t="s">
        <v>806</v>
      </c>
      <c r="C188" s="149" t="s">
        <v>264</v>
      </c>
      <c r="D188" s="179" t="s">
        <v>17</v>
      </c>
      <c r="E188" s="172" t="s">
        <v>263</v>
      </c>
      <c r="F188" s="152" t="s">
        <v>33</v>
      </c>
      <c r="G188" s="228"/>
      <c r="H188" s="228"/>
      <c r="I188" s="228"/>
      <c r="J188" s="228"/>
      <c r="K188" s="228"/>
      <c r="L188" s="154">
        <v>1</v>
      </c>
      <c r="M188" s="155">
        <f t="shared" si="62"/>
        <v>3.305175</v>
      </c>
      <c r="N188" s="155">
        <f t="shared" si="63"/>
        <v>9.915525</v>
      </c>
      <c r="O188" s="155">
        <f t="shared" si="59"/>
        <v>3.3</v>
      </c>
      <c r="P188" s="155">
        <f t="shared" si="60"/>
        <v>9.91</v>
      </c>
      <c r="Q188" s="226">
        <f t="shared" si="61"/>
        <v>13.21</v>
      </c>
      <c r="U188" s="108">
        <v>10.41</v>
      </c>
      <c r="W188" s="116"/>
      <c r="X188" s="111">
        <f t="shared" si="52"/>
        <v>0.010699999999999932</v>
      </c>
    </row>
    <row r="189" spans="2:23" s="111" customFormat="1" ht="12.75">
      <c r="B189" s="157"/>
      <c r="C189" s="158"/>
      <c r="D189" s="190"/>
      <c r="E189" s="160" t="s">
        <v>374</v>
      </c>
      <c r="F189" s="160"/>
      <c r="G189" s="230"/>
      <c r="H189" s="230"/>
      <c r="I189" s="230"/>
      <c r="J189" s="230"/>
      <c r="K189" s="230"/>
      <c r="L189" s="161"/>
      <c r="M189" s="161"/>
      <c r="N189" s="161"/>
      <c r="O189" s="162">
        <f>SUM(O172:O188)</f>
        <v>12578.839999999998</v>
      </c>
      <c r="P189" s="162">
        <f>SUM(P172:P188)</f>
        <v>37736.670000000006</v>
      </c>
      <c r="Q189" s="163">
        <f>TRUNC(SUM(Q172:Q188),2)</f>
        <v>50315.51</v>
      </c>
      <c r="U189" s="114"/>
      <c r="W189" s="116">
        <f>Q189</f>
        <v>50315.51</v>
      </c>
    </row>
    <row r="190" spans="2:24" s="111" customFormat="1" ht="13.5" thickBot="1">
      <c r="B190" s="231"/>
      <c r="C190" s="232"/>
      <c r="D190" s="233"/>
      <c r="E190" s="233" t="s">
        <v>528</v>
      </c>
      <c r="F190" s="234"/>
      <c r="G190" s="235"/>
      <c r="H190" s="235"/>
      <c r="I190" s="235"/>
      <c r="J190" s="235"/>
      <c r="K190" s="235"/>
      <c r="L190" s="235"/>
      <c r="M190" s="236"/>
      <c r="N190" s="237"/>
      <c r="O190" s="238">
        <f>O12+O17+O26+O33+O37+O66+O41+O78+O84+O90+O105+O126+O135+O157+O167+O143+O170+O189</f>
        <v>247948.40999999997</v>
      </c>
      <c r="P190" s="238">
        <f>P12+P17+P26+P33+P37+P66+P41+P78+P84+P90+P105+P126+P135+P157+P167+P143+P170+P189</f>
        <v>743846.54</v>
      </c>
      <c r="Q190" s="239">
        <f>Q12+Q17+Q26+Q33+Q37+Q66+Q41+Q78+Q84+Q90+Q105+Q126+Q135+Q157+Q167+Q143+Q170+Q189</f>
        <v>991794.9500000001</v>
      </c>
      <c r="S190" s="126"/>
      <c r="W190" s="110">
        <f>W12+W17+W26+W33+W37+W66+W41+W78+W84+W90+W105+W126+W135+W157+W167+W143+W170+W189</f>
        <v>991794.9500000001</v>
      </c>
      <c r="X190" s="127">
        <f>SUM(X11:X188)</f>
        <v>1.4304819431990552</v>
      </c>
    </row>
    <row r="191" spans="2:23" ht="31.5" customHeight="1" thickBot="1">
      <c r="B191" s="240"/>
      <c r="C191" s="240"/>
      <c r="D191" s="380"/>
      <c r="E191" s="380"/>
      <c r="F191" s="380"/>
      <c r="G191" s="380"/>
      <c r="H191" s="380"/>
      <c r="I191" s="380"/>
      <c r="J191" s="380"/>
      <c r="K191" s="380"/>
      <c r="L191" s="380"/>
      <c r="M191" s="380"/>
      <c r="N191" s="380"/>
      <c r="O191" s="380"/>
      <c r="P191" s="380"/>
      <c r="Q191" s="241"/>
      <c r="U191" s="16">
        <f>O190+P190</f>
        <v>991794.95</v>
      </c>
      <c r="W191" s="91"/>
    </row>
    <row r="192" spans="2:17" s="5" customFormat="1" ht="15">
      <c r="B192" s="240"/>
      <c r="C192" s="240"/>
      <c r="D192" s="240"/>
      <c r="E192" s="242"/>
      <c r="F192" s="243"/>
      <c r="G192" s="243"/>
      <c r="H192" s="243"/>
      <c r="I192" s="243"/>
      <c r="J192" s="243"/>
      <c r="K192" s="243"/>
      <c r="L192" s="243"/>
      <c r="M192" s="243"/>
      <c r="N192" s="243"/>
      <c r="O192" s="243"/>
      <c r="P192" s="243"/>
      <c r="Q192" s="244"/>
    </row>
    <row r="193" spans="2:17" ht="15" customHeight="1">
      <c r="B193" s="240"/>
      <c r="C193" s="240"/>
      <c r="D193" s="245"/>
      <c r="E193" s="246" t="s">
        <v>814</v>
      </c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</row>
    <row r="194" spans="2:18" ht="15">
      <c r="B194" s="240"/>
      <c r="C194" s="240"/>
      <c r="D194" s="248"/>
      <c r="E194" s="249" t="s">
        <v>16</v>
      </c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1"/>
      <c r="R194" s="7"/>
    </row>
    <row r="195" spans="2:18" ht="15">
      <c r="B195" s="240"/>
      <c r="C195" s="240"/>
      <c r="D195" s="248"/>
      <c r="E195" s="252"/>
      <c r="F195" s="240"/>
      <c r="G195" s="240"/>
      <c r="H195" s="240"/>
      <c r="I195" s="240"/>
      <c r="J195" s="240"/>
      <c r="K195" s="240"/>
      <c r="L195" s="242"/>
      <c r="M195" s="242"/>
      <c r="N195" s="242"/>
      <c r="O195" s="242"/>
      <c r="P195" s="242"/>
      <c r="Q195" s="253"/>
      <c r="R195" s="7"/>
    </row>
    <row r="196" spans="2:18" ht="15">
      <c r="B196" s="240"/>
      <c r="C196" s="240"/>
      <c r="D196" s="248"/>
      <c r="E196" s="242"/>
      <c r="F196" s="240"/>
      <c r="G196" s="240"/>
      <c r="H196" s="240"/>
      <c r="I196" s="240"/>
      <c r="J196" s="240"/>
      <c r="K196" s="240"/>
      <c r="L196" s="242"/>
      <c r="M196" s="242"/>
      <c r="N196" s="242"/>
      <c r="O196" s="242"/>
      <c r="P196" s="242"/>
      <c r="Q196" s="254"/>
      <c r="R196" s="89"/>
    </row>
    <row r="197" spans="2:18" ht="15">
      <c r="B197" s="14"/>
      <c r="C197" s="14"/>
      <c r="D197" s="88"/>
      <c r="E197" s="13"/>
      <c r="F197" s="14"/>
      <c r="G197" s="14">
        <f>(21.4+21.4+5.2+2.8+2.95+2.2+2.2+2.8+0.8+1.6+0.8+10.8)</f>
        <v>74.95</v>
      </c>
      <c r="H197" s="14">
        <f>(68.8+9)</f>
        <v>77.8</v>
      </c>
      <c r="I197" s="14"/>
      <c r="J197" s="14"/>
      <c r="K197" s="14"/>
      <c r="L197" s="13"/>
      <c r="M197" s="13"/>
      <c r="N197" s="13"/>
      <c r="O197" s="13"/>
      <c r="P197" s="13"/>
      <c r="Q197" s="90"/>
      <c r="R197" s="89"/>
    </row>
    <row r="198" spans="2:18" ht="15">
      <c r="B198" s="14"/>
      <c r="C198" s="14"/>
      <c r="D198" s="88"/>
      <c r="E198" s="13"/>
      <c r="F198" s="14"/>
      <c r="G198" s="14"/>
      <c r="H198" s="14"/>
      <c r="I198" s="14"/>
      <c r="J198" s="14"/>
      <c r="K198" s="14"/>
      <c r="L198" s="13"/>
      <c r="M198" s="13"/>
      <c r="N198" s="13"/>
      <c r="O198" s="13"/>
      <c r="P198" s="13"/>
      <c r="Q198" s="90"/>
      <c r="R198" s="89"/>
    </row>
    <row r="199" spans="2:18" ht="15">
      <c r="B199" s="14"/>
      <c r="C199" s="14"/>
      <c r="D199" s="88"/>
      <c r="E199" s="13"/>
      <c r="F199" s="14"/>
      <c r="G199" s="14"/>
      <c r="H199" s="14"/>
      <c r="I199" s="14"/>
      <c r="J199" s="14"/>
      <c r="K199" s="14"/>
      <c r="L199" s="13">
        <v>27</v>
      </c>
      <c r="M199" s="13"/>
      <c r="N199" s="13"/>
      <c r="O199" s="13"/>
      <c r="P199" s="13"/>
      <c r="Q199" s="90"/>
      <c r="R199" s="89"/>
    </row>
    <row r="200" spans="2:18" ht="15">
      <c r="B200" s="14"/>
      <c r="C200" s="14"/>
      <c r="D200" s="88"/>
      <c r="E200" s="13"/>
      <c r="F200" s="14"/>
      <c r="G200" s="14"/>
      <c r="H200" s="14"/>
      <c r="I200" s="14"/>
      <c r="J200" s="14"/>
      <c r="K200" s="14"/>
      <c r="L200" s="13"/>
      <c r="M200" s="13"/>
      <c r="N200" s="13"/>
      <c r="O200" s="13"/>
      <c r="P200" s="13"/>
      <c r="Q200" s="90"/>
      <c r="R200" s="89"/>
    </row>
    <row r="201" spans="2:18" ht="15">
      <c r="B201" s="14"/>
      <c r="C201" s="14"/>
      <c r="D201" s="88"/>
      <c r="E201" s="13"/>
      <c r="F201" s="14"/>
      <c r="G201" s="14"/>
      <c r="H201" s="14"/>
      <c r="I201" s="14"/>
      <c r="J201" s="14"/>
      <c r="K201" s="14"/>
      <c r="L201" s="13"/>
      <c r="M201" s="87"/>
      <c r="N201" s="87">
        <v>25</v>
      </c>
      <c r="O201" s="87"/>
      <c r="P201" s="13"/>
      <c r="Q201" s="90"/>
      <c r="R201" s="89"/>
    </row>
    <row r="202" spans="2:18" ht="15">
      <c r="B202" s="14"/>
      <c r="C202" s="14"/>
      <c r="D202" s="88"/>
      <c r="E202" s="13"/>
      <c r="F202" s="14"/>
      <c r="G202" s="14"/>
      <c r="H202" s="14"/>
      <c r="I202" s="14"/>
      <c r="J202" s="14"/>
      <c r="K202" s="14"/>
      <c r="L202" s="13"/>
      <c r="M202" s="87" t="s">
        <v>527</v>
      </c>
      <c r="N202" s="87" t="s">
        <v>526</v>
      </c>
      <c r="O202" s="87" t="s">
        <v>525</v>
      </c>
      <c r="P202" s="13"/>
      <c r="Q202" s="15"/>
      <c r="R202" s="7"/>
    </row>
    <row r="203" spans="2:17" ht="36">
      <c r="B203" s="128"/>
      <c r="C203" s="107" t="s">
        <v>524</v>
      </c>
      <c r="D203" s="75" t="s">
        <v>17</v>
      </c>
      <c r="E203" s="76" t="s">
        <v>523</v>
      </c>
      <c r="F203" s="75" t="s">
        <v>19</v>
      </c>
      <c r="G203" s="75"/>
      <c r="H203" s="75"/>
      <c r="I203" s="75"/>
      <c r="J203" s="75"/>
      <c r="K203" s="75"/>
      <c r="L203" s="74">
        <v>3.11</v>
      </c>
      <c r="M203" s="86">
        <f aca="true" t="shared" si="64" ref="M203:M234">L203*(1+$L$199/100)</f>
        <v>3.9497</v>
      </c>
      <c r="N203" s="86">
        <f aca="true" t="shared" si="65" ref="N203:N234">M203*($N$201/100)</f>
        <v>0.987425</v>
      </c>
      <c r="O203" s="86">
        <f aca="true" t="shared" si="66" ref="O203:O234">M203-N203</f>
        <v>2.962275</v>
      </c>
      <c r="P203" s="12"/>
      <c r="Q203" s="12"/>
    </row>
    <row r="204" spans="2:17" ht="24">
      <c r="B204" s="128"/>
      <c r="C204" s="107">
        <v>73481</v>
      </c>
      <c r="D204" s="75" t="s">
        <v>17</v>
      </c>
      <c r="E204" s="76" t="s">
        <v>522</v>
      </c>
      <c r="F204" s="75" t="s">
        <v>109</v>
      </c>
      <c r="G204" s="75"/>
      <c r="H204" s="75"/>
      <c r="I204" s="75"/>
      <c r="J204" s="75"/>
      <c r="K204" s="75"/>
      <c r="L204" s="74">
        <v>30.54</v>
      </c>
      <c r="M204" s="86">
        <f t="shared" si="64"/>
        <v>38.7858</v>
      </c>
      <c r="N204" s="86">
        <f t="shared" si="65"/>
        <v>9.69645</v>
      </c>
      <c r="O204" s="86">
        <f t="shared" si="66"/>
        <v>29.089350000000003</v>
      </c>
      <c r="P204" s="12"/>
      <c r="Q204" s="12"/>
    </row>
    <row r="205" spans="3:15" ht="24">
      <c r="C205" s="107" t="s">
        <v>521</v>
      </c>
      <c r="D205" s="75" t="s">
        <v>17</v>
      </c>
      <c r="E205" s="76" t="s">
        <v>520</v>
      </c>
      <c r="F205" s="75" t="s">
        <v>19</v>
      </c>
      <c r="G205" s="75"/>
      <c r="H205" s="75"/>
      <c r="I205" s="75"/>
      <c r="J205" s="75"/>
      <c r="K205" s="75"/>
      <c r="L205" s="74">
        <v>219.54</v>
      </c>
      <c r="M205" s="72">
        <f t="shared" si="64"/>
        <v>278.81579999999997</v>
      </c>
      <c r="N205" s="72">
        <f t="shared" si="65"/>
        <v>69.70394999999999</v>
      </c>
      <c r="O205" s="72">
        <f t="shared" si="66"/>
        <v>209.11184999999998</v>
      </c>
    </row>
    <row r="206" spans="3:15" ht="48">
      <c r="C206" s="107" t="s">
        <v>519</v>
      </c>
      <c r="D206" s="75" t="s">
        <v>17</v>
      </c>
      <c r="E206" s="76" t="s">
        <v>518</v>
      </c>
      <c r="F206" s="75" t="s">
        <v>19</v>
      </c>
      <c r="G206" s="75"/>
      <c r="H206" s="75"/>
      <c r="I206" s="75"/>
      <c r="J206" s="75"/>
      <c r="K206" s="75"/>
      <c r="L206" s="74">
        <v>7.87</v>
      </c>
      <c r="M206" s="72">
        <f t="shared" si="64"/>
        <v>9.9949</v>
      </c>
      <c r="N206" s="72">
        <f t="shared" si="65"/>
        <v>2.498725</v>
      </c>
      <c r="O206" s="72">
        <f t="shared" si="66"/>
        <v>7.496174999999999</v>
      </c>
    </row>
    <row r="207" spans="3:15" ht="36">
      <c r="C207" s="107" t="s">
        <v>517</v>
      </c>
      <c r="D207" s="75" t="s">
        <v>17</v>
      </c>
      <c r="E207" s="76" t="s">
        <v>516</v>
      </c>
      <c r="F207" s="75" t="s">
        <v>109</v>
      </c>
      <c r="G207" s="75"/>
      <c r="H207" s="75"/>
      <c r="I207" s="75"/>
      <c r="J207" s="75"/>
      <c r="K207" s="75"/>
      <c r="L207" s="74">
        <v>388.14</v>
      </c>
      <c r="M207" s="72">
        <f t="shared" si="64"/>
        <v>492.9378</v>
      </c>
      <c r="N207" s="72">
        <f t="shared" si="65"/>
        <v>123.23445</v>
      </c>
      <c r="O207" s="72">
        <f t="shared" si="66"/>
        <v>369.70335</v>
      </c>
    </row>
    <row r="208" spans="3:15" ht="48">
      <c r="C208" s="107">
        <v>6110</v>
      </c>
      <c r="D208" s="75" t="s">
        <v>17</v>
      </c>
      <c r="E208" s="76" t="s">
        <v>515</v>
      </c>
      <c r="F208" s="75" t="s">
        <v>109</v>
      </c>
      <c r="G208" s="75"/>
      <c r="H208" s="75"/>
      <c r="I208" s="75"/>
      <c r="J208" s="75"/>
      <c r="K208" s="75"/>
      <c r="L208" s="74">
        <v>528.48</v>
      </c>
      <c r="M208" s="72">
        <f t="shared" si="64"/>
        <v>671.1696000000001</v>
      </c>
      <c r="N208" s="72">
        <f t="shared" si="65"/>
        <v>167.79240000000001</v>
      </c>
      <c r="O208" s="72">
        <f t="shared" si="66"/>
        <v>503.3772</v>
      </c>
    </row>
    <row r="209" spans="3:15" ht="24">
      <c r="C209" s="107">
        <v>83742</v>
      </c>
      <c r="D209" s="75" t="s">
        <v>17</v>
      </c>
      <c r="E209" s="76" t="s">
        <v>514</v>
      </c>
      <c r="F209" s="75" t="s">
        <v>19</v>
      </c>
      <c r="G209" s="75"/>
      <c r="H209" s="75"/>
      <c r="I209" s="75"/>
      <c r="J209" s="75"/>
      <c r="K209" s="75"/>
      <c r="L209" s="74">
        <v>18.68</v>
      </c>
      <c r="M209" s="72">
        <f t="shared" si="64"/>
        <v>23.7236</v>
      </c>
      <c r="N209" s="72">
        <f t="shared" si="65"/>
        <v>5.9309</v>
      </c>
      <c r="O209" s="72">
        <f t="shared" si="66"/>
        <v>17.7927</v>
      </c>
    </row>
    <row r="210" spans="3:15" ht="84">
      <c r="C210" s="107">
        <v>87473</v>
      </c>
      <c r="D210" s="75" t="s">
        <v>17</v>
      </c>
      <c r="E210" s="76" t="s">
        <v>513</v>
      </c>
      <c r="F210" s="75" t="s">
        <v>19</v>
      </c>
      <c r="G210" s="75"/>
      <c r="H210" s="75"/>
      <c r="I210" s="75"/>
      <c r="J210" s="75"/>
      <c r="K210" s="75"/>
      <c r="L210" s="74">
        <v>44.93</v>
      </c>
      <c r="M210" s="72">
        <f t="shared" si="64"/>
        <v>57.0611</v>
      </c>
      <c r="N210" s="72">
        <f t="shared" si="65"/>
        <v>14.265275</v>
      </c>
      <c r="O210" s="72">
        <f t="shared" si="66"/>
        <v>42.795825</v>
      </c>
    </row>
    <row r="211" spans="3:15" ht="60">
      <c r="C211" s="107" t="s">
        <v>512</v>
      </c>
      <c r="D211" s="75" t="s">
        <v>17</v>
      </c>
      <c r="E211" s="76" t="s">
        <v>511</v>
      </c>
      <c r="F211" s="75" t="s">
        <v>19</v>
      </c>
      <c r="G211" s="75"/>
      <c r="H211" s="75"/>
      <c r="I211" s="75"/>
      <c r="J211" s="75"/>
      <c r="K211" s="75"/>
      <c r="L211" s="74">
        <v>68.2</v>
      </c>
      <c r="M211" s="72">
        <f t="shared" si="64"/>
        <v>86.614</v>
      </c>
      <c r="N211" s="72">
        <f t="shared" si="65"/>
        <v>21.6535</v>
      </c>
      <c r="O211" s="72">
        <f t="shared" si="66"/>
        <v>64.9605</v>
      </c>
    </row>
    <row r="212" spans="3:15" ht="96">
      <c r="C212" s="107">
        <v>72110</v>
      </c>
      <c r="D212" s="75" t="s">
        <v>17</v>
      </c>
      <c r="E212" s="76" t="s">
        <v>510</v>
      </c>
      <c r="F212" s="75" t="s">
        <v>19</v>
      </c>
      <c r="G212" s="75"/>
      <c r="H212" s="75"/>
      <c r="I212" s="75"/>
      <c r="J212" s="75"/>
      <c r="K212" s="75"/>
      <c r="L212" s="74">
        <v>59.52</v>
      </c>
      <c r="M212" s="72">
        <f t="shared" si="64"/>
        <v>75.5904</v>
      </c>
      <c r="N212" s="72">
        <f t="shared" si="65"/>
        <v>18.8976</v>
      </c>
      <c r="O212" s="72">
        <f t="shared" si="66"/>
        <v>56.692800000000005</v>
      </c>
    </row>
    <row r="213" spans="3:15" ht="36">
      <c r="C213" s="107" t="s">
        <v>509</v>
      </c>
      <c r="D213" s="75" t="s">
        <v>17</v>
      </c>
      <c r="E213" s="76" t="s">
        <v>508</v>
      </c>
      <c r="F213" s="75" t="s">
        <v>19</v>
      </c>
      <c r="G213" s="75"/>
      <c r="H213" s="75"/>
      <c r="I213" s="75"/>
      <c r="J213" s="75"/>
      <c r="K213" s="75"/>
      <c r="L213" s="74">
        <v>28.82</v>
      </c>
      <c r="M213" s="72">
        <f t="shared" si="64"/>
        <v>36.6014</v>
      </c>
      <c r="N213" s="72">
        <f t="shared" si="65"/>
        <v>9.15035</v>
      </c>
      <c r="O213" s="72">
        <f t="shared" si="66"/>
        <v>27.45105</v>
      </c>
    </row>
    <row r="214" spans="3:15" ht="24">
      <c r="C214" s="107">
        <v>72107</v>
      </c>
      <c r="D214" s="75" t="s">
        <v>17</v>
      </c>
      <c r="E214" s="76" t="s">
        <v>507</v>
      </c>
      <c r="F214" s="75" t="s">
        <v>132</v>
      </c>
      <c r="G214" s="75"/>
      <c r="H214" s="75"/>
      <c r="I214" s="75"/>
      <c r="J214" s="75"/>
      <c r="K214" s="75"/>
      <c r="L214" s="74">
        <v>20.31</v>
      </c>
      <c r="M214" s="72">
        <f t="shared" si="64"/>
        <v>25.793699999999998</v>
      </c>
      <c r="N214" s="72">
        <f t="shared" si="65"/>
        <v>6.448424999999999</v>
      </c>
      <c r="O214" s="72">
        <f t="shared" si="66"/>
        <v>19.345274999999997</v>
      </c>
    </row>
    <row r="215" spans="3:15" ht="24">
      <c r="C215" s="107">
        <v>84046</v>
      </c>
      <c r="D215" s="75" t="s">
        <v>17</v>
      </c>
      <c r="E215" s="76" t="s">
        <v>506</v>
      </c>
      <c r="F215" s="75" t="s">
        <v>132</v>
      </c>
      <c r="G215" s="75"/>
      <c r="H215" s="75"/>
      <c r="I215" s="75"/>
      <c r="J215" s="75"/>
      <c r="K215" s="75"/>
      <c r="L215" s="74">
        <f>9.18*1.5</f>
        <v>13.77</v>
      </c>
      <c r="M215" s="72">
        <f t="shared" si="64"/>
        <v>17.4879</v>
      </c>
      <c r="N215" s="72">
        <f t="shared" si="65"/>
        <v>4.371975</v>
      </c>
      <c r="O215" s="72">
        <f t="shared" si="66"/>
        <v>13.115925</v>
      </c>
    </row>
    <row r="216" spans="3:15" ht="48">
      <c r="C216" s="107">
        <v>84045</v>
      </c>
      <c r="D216" s="75" t="s">
        <v>17</v>
      </c>
      <c r="E216" s="76" t="s">
        <v>505</v>
      </c>
      <c r="F216" s="75" t="s">
        <v>132</v>
      </c>
      <c r="G216" s="75"/>
      <c r="H216" s="75"/>
      <c r="I216" s="75"/>
      <c r="J216" s="75"/>
      <c r="K216" s="75"/>
      <c r="L216" s="74">
        <v>28.03</v>
      </c>
      <c r="M216" s="72">
        <f t="shared" si="64"/>
        <v>35.5981</v>
      </c>
      <c r="N216" s="72">
        <f t="shared" si="65"/>
        <v>8.899525</v>
      </c>
      <c r="O216" s="72">
        <f t="shared" si="66"/>
        <v>26.698575</v>
      </c>
    </row>
    <row r="217" spans="3:15" ht="48">
      <c r="C217" s="107" t="s">
        <v>504</v>
      </c>
      <c r="D217" s="75" t="s">
        <v>17</v>
      </c>
      <c r="E217" s="76" t="s">
        <v>503</v>
      </c>
      <c r="F217" s="75" t="s">
        <v>19</v>
      </c>
      <c r="G217" s="75"/>
      <c r="H217" s="75"/>
      <c r="I217" s="75"/>
      <c r="J217" s="75"/>
      <c r="K217" s="75"/>
      <c r="L217" s="74">
        <v>49.93</v>
      </c>
      <c r="M217" s="72">
        <f t="shared" si="64"/>
        <v>63.4111</v>
      </c>
      <c r="N217" s="72">
        <f t="shared" si="65"/>
        <v>15.852775</v>
      </c>
      <c r="O217" s="72">
        <f t="shared" si="66"/>
        <v>47.558324999999996</v>
      </c>
    </row>
    <row r="218" spans="3:15" ht="24">
      <c r="C218" s="107">
        <v>55835</v>
      </c>
      <c r="D218" s="75" t="s">
        <v>17</v>
      </c>
      <c r="E218" s="76" t="s">
        <v>502</v>
      </c>
      <c r="F218" s="75" t="s">
        <v>109</v>
      </c>
      <c r="G218" s="75"/>
      <c r="H218" s="75"/>
      <c r="I218" s="75"/>
      <c r="J218" s="75"/>
      <c r="K218" s="75"/>
      <c r="L218" s="74">
        <v>41.91</v>
      </c>
      <c r="M218" s="72">
        <f t="shared" si="64"/>
        <v>53.225699999999996</v>
      </c>
      <c r="N218" s="72">
        <f t="shared" si="65"/>
        <v>13.306424999999999</v>
      </c>
      <c r="O218" s="72">
        <f t="shared" si="66"/>
        <v>39.919275</v>
      </c>
    </row>
    <row r="219" spans="3:15" ht="36">
      <c r="C219" s="107" t="s">
        <v>501</v>
      </c>
      <c r="D219" s="75" t="s">
        <v>17</v>
      </c>
      <c r="E219" s="76" t="s">
        <v>500</v>
      </c>
      <c r="F219" s="75" t="s">
        <v>19</v>
      </c>
      <c r="G219" s="75"/>
      <c r="H219" s="75"/>
      <c r="I219" s="75"/>
      <c r="J219" s="75"/>
      <c r="K219" s="75"/>
      <c r="L219" s="74">
        <v>24.56</v>
      </c>
      <c r="M219" s="72">
        <f t="shared" si="64"/>
        <v>31.1912</v>
      </c>
      <c r="N219" s="72">
        <f t="shared" si="65"/>
        <v>7.7978</v>
      </c>
      <c r="O219" s="72">
        <f t="shared" si="66"/>
        <v>23.3934</v>
      </c>
    </row>
    <row r="220" spans="3:15" ht="48">
      <c r="C220" s="107">
        <v>87248</v>
      </c>
      <c r="D220" s="75" t="s">
        <v>17</v>
      </c>
      <c r="E220" s="76" t="s">
        <v>499</v>
      </c>
      <c r="F220" s="75" t="s">
        <v>19</v>
      </c>
      <c r="G220" s="75"/>
      <c r="H220" s="75"/>
      <c r="I220" s="75"/>
      <c r="J220" s="75"/>
      <c r="K220" s="75"/>
      <c r="L220" s="74">
        <v>23.84</v>
      </c>
      <c r="M220" s="72">
        <f t="shared" si="64"/>
        <v>30.2768</v>
      </c>
      <c r="N220" s="72">
        <f t="shared" si="65"/>
        <v>7.5692</v>
      </c>
      <c r="O220" s="72">
        <f t="shared" si="66"/>
        <v>22.7076</v>
      </c>
    </row>
    <row r="221" spans="3:15" ht="72">
      <c r="C221" s="75" t="s">
        <v>498</v>
      </c>
      <c r="D221" s="75" t="s">
        <v>17</v>
      </c>
      <c r="E221" s="76" t="s">
        <v>497</v>
      </c>
      <c r="F221" s="75" t="s">
        <v>109</v>
      </c>
      <c r="G221" s="75"/>
      <c r="H221" s="75"/>
      <c r="I221" s="75"/>
      <c r="J221" s="75"/>
      <c r="K221" s="75"/>
      <c r="L221" s="74">
        <v>3.56</v>
      </c>
      <c r="M221" s="72">
        <f t="shared" si="64"/>
        <v>4.5212</v>
      </c>
      <c r="N221" s="72">
        <f t="shared" si="65"/>
        <v>1.1303</v>
      </c>
      <c r="O221" s="72">
        <f t="shared" si="66"/>
        <v>3.3909000000000002</v>
      </c>
    </row>
    <row r="222" spans="3:15" ht="24">
      <c r="C222" s="75">
        <v>79490</v>
      </c>
      <c r="D222" s="75" t="s">
        <v>17</v>
      </c>
      <c r="E222" s="76" t="s">
        <v>496</v>
      </c>
      <c r="F222" s="75" t="s">
        <v>109</v>
      </c>
      <c r="G222" s="75"/>
      <c r="H222" s="75"/>
      <c r="I222" s="75"/>
      <c r="J222" s="75"/>
      <c r="K222" s="75"/>
      <c r="L222" s="74">
        <v>1.57</v>
      </c>
      <c r="M222" s="72">
        <f t="shared" si="64"/>
        <v>1.9939</v>
      </c>
      <c r="N222" s="72">
        <f t="shared" si="65"/>
        <v>0.498475</v>
      </c>
      <c r="O222" s="72">
        <f t="shared" si="66"/>
        <v>1.495425</v>
      </c>
    </row>
    <row r="223" spans="3:15" ht="24">
      <c r="C223" s="75">
        <v>83708</v>
      </c>
      <c r="D223" s="75" t="s">
        <v>17</v>
      </c>
      <c r="E223" s="76" t="s">
        <v>495</v>
      </c>
      <c r="F223" s="75" t="s">
        <v>1</v>
      </c>
      <c r="G223" s="75"/>
      <c r="H223" s="75"/>
      <c r="I223" s="75"/>
      <c r="J223" s="75"/>
      <c r="K223" s="75"/>
      <c r="L223" s="74">
        <v>981.89</v>
      </c>
      <c r="M223" s="72">
        <f t="shared" si="64"/>
        <v>1247.0003</v>
      </c>
      <c r="N223" s="72">
        <f t="shared" si="65"/>
        <v>311.750075</v>
      </c>
      <c r="O223" s="72">
        <f t="shared" si="66"/>
        <v>935.250225</v>
      </c>
    </row>
    <row r="224" spans="3:15" ht="36">
      <c r="C224" s="75">
        <v>6067</v>
      </c>
      <c r="D224" s="75" t="s">
        <v>17</v>
      </c>
      <c r="E224" s="76" t="s">
        <v>458</v>
      </c>
      <c r="F224" s="75" t="s">
        <v>19</v>
      </c>
      <c r="G224" s="75"/>
      <c r="H224" s="75"/>
      <c r="I224" s="75"/>
      <c r="J224" s="75"/>
      <c r="K224" s="75"/>
      <c r="L224" s="74">
        <v>26.24</v>
      </c>
      <c r="M224" s="72">
        <f t="shared" si="64"/>
        <v>33.324799999999996</v>
      </c>
      <c r="N224" s="72">
        <f t="shared" si="65"/>
        <v>8.331199999999999</v>
      </c>
      <c r="O224" s="72">
        <f t="shared" si="66"/>
        <v>24.993599999999997</v>
      </c>
    </row>
    <row r="225" spans="3:15" ht="15">
      <c r="C225" s="75">
        <v>9537</v>
      </c>
      <c r="D225" s="75" t="s">
        <v>17</v>
      </c>
      <c r="E225" s="76" t="s">
        <v>494</v>
      </c>
      <c r="F225" s="75" t="s">
        <v>19</v>
      </c>
      <c r="G225" s="75"/>
      <c r="H225" s="75"/>
      <c r="I225" s="75"/>
      <c r="J225" s="75"/>
      <c r="K225" s="75"/>
      <c r="L225" s="74">
        <v>1.86</v>
      </c>
      <c r="M225" s="72">
        <f t="shared" si="64"/>
        <v>2.3622</v>
      </c>
      <c r="N225" s="72">
        <f t="shared" si="65"/>
        <v>0.59055</v>
      </c>
      <c r="O225" s="72">
        <f t="shared" si="66"/>
        <v>1.7716500000000002</v>
      </c>
    </row>
    <row r="226" spans="3:15" ht="60">
      <c r="C226" s="75">
        <v>89957</v>
      </c>
      <c r="D226" s="75" t="s">
        <v>17</v>
      </c>
      <c r="E226" s="76" t="s">
        <v>493</v>
      </c>
      <c r="F226" s="75" t="s">
        <v>1</v>
      </c>
      <c r="G226" s="75"/>
      <c r="H226" s="75"/>
      <c r="I226" s="75"/>
      <c r="J226" s="75"/>
      <c r="K226" s="75"/>
      <c r="L226" s="74">
        <v>76.12</v>
      </c>
      <c r="M226" s="72">
        <f t="shared" si="64"/>
        <v>96.67240000000001</v>
      </c>
      <c r="N226" s="72">
        <f t="shared" si="65"/>
        <v>24.168100000000003</v>
      </c>
      <c r="O226" s="72">
        <f t="shared" si="66"/>
        <v>72.5043</v>
      </c>
    </row>
    <row r="227" spans="3:15" ht="24">
      <c r="C227" s="75">
        <v>73663</v>
      </c>
      <c r="D227" s="75" t="s">
        <v>17</v>
      </c>
      <c r="E227" s="76" t="s">
        <v>492</v>
      </c>
      <c r="F227" s="75" t="s">
        <v>1</v>
      </c>
      <c r="G227" s="75"/>
      <c r="H227" s="75"/>
      <c r="I227" s="75"/>
      <c r="J227" s="75"/>
      <c r="K227" s="75"/>
      <c r="L227" s="74">
        <v>107.43</v>
      </c>
      <c r="M227" s="72">
        <f t="shared" si="64"/>
        <v>136.4361</v>
      </c>
      <c r="N227" s="72">
        <f t="shared" si="65"/>
        <v>34.109025</v>
      </c>
      <c r="O227" s="72">
        <f t="shared" si="66"/>
        <v>102.32707500000001</v>
      </c>
    </row>
    <row r="228" spans="3:15" ht="84">
      <c r="C228" s="75">
        <v>86933</v>
      </c>
      <c r="D228" s="75" t="s">
        <v>17</v>
      </c>
      <c r="E228" s="76" t="s">
        <v>491</v>
      </c>
      <c r="F228" s="75" t="s">
        <v>1</v>
      </c>
      <c r="G228" s="75"/>
      <c r="H228" s="75"/>
      <c r="I228" s="75"/>
      <c r="J228" s="75"/>
      <c r="K228" s="75"/>
      <c r="L228" s="74">
        <v>262.05</v>
      </c>
      <c r="M228" s="72">
        <f t="shared" si="64"/>
        <v>332.80350000000004</v>
      </c>
      <c r="N228" s="72">
        <f t="shared" si="65"/>
        <v>83.20087500000001</v>
      </c>
      <c r="O228" s="72">
        <f t="shared" si="66"/>
        <v>249.60262500000005</v>
      </c>
    </row>
    <row r="229" spans="3:15" ht="72">
      <c r="C229" s="75">
        <v>86931</v>
      </c>
      <c r="D229" s="75" t="s">
        <v>17</v>
      </c>
      <c r="E229" s="76" t="s">
        <v>490</v>
      </c>
      <c r="F229" s="75" t="s">
        <v>1</v>
      </c>
      <c r="G229" s="75"/>
      <c r="H229" s="75"/>
      <c r="I229" s="75"/>
      <c r="J229" s="75"/>
      <c r="K229" s="75"/>
      <c r="L229" s="74">
        <v>289.22</v>
      </c>
      <c r="M229" s="72">
        <f t="shared" si="64"/>
        <v>367.30940000000004</v>
      </c>
      <c r="N229" s="72">
        <f t="shared" si="65"/>
        <v>91.82735000000001</v>
      </c>
      <c r="O229" s="72">
        <f t="shared" si="66"/>
        <v>275.48205</v>
      </c>
    </row>
    <row r="230" spans="3:15" ht="84">
      <c r="C230" s="75" t="s">
        <v>489</v>
      </c>
      <c r="D230" s="75" t="s">
        <v>17</v>
      </c>
      <c r="E230" s="76" t="s">
        <v>488</v>
      </c>
      <c r="F230" s="75" t="s">
        <v>1</v>
      </c>
      <c r="G230" s="75"/>
      <c r="H230" s="75"/>
      <c r="I230" s="75"/>
      <c r="J230" s="75"/>
      <c r="K230" s="75"/>
      <c r="L230" s="74">
        <v>116.8</v>
      </c>
      <c r="M230" s="72">
        <f t="shared" si="64"/>
        <v>148.33599999999998</v>
      </c>
      <c r="N230" s="72">
        <f t="shared" si="65"/>
        <v>37.083999999999996</v>
      </c>
      <c r="O230" s="72">
        <f t="shared" si="66"/>
        <v>111.25199999999998</v>
      </c>
    </row>
    <row r="231" spans="3:15" ht="36">
      <c r="C231" s="75">
        <v>86902</v>
      </c>
      <c r="D231" s="75" t="s">
        <v>17</v>
      </c>
      <c r="E231" s="76" t="s">
        <v>487</v>
      </c>
      <c r="F231" s="75" t="s">
        <v>1</v>
      </c>
      <c r="G231" s="75"/>
      <c r="H231" s="75"/>
      <c r="I231" s="75"/>
      <c r="J231" s="75"/>
      <c r="K231" s="75"/>
      <c r="L231" s="74">
        <v>121.39</v>
      </c>
      <c r="M231" s="72">
        <f t="shared" si="64"/>
        <v>154.1653</v>
      </c>
      <c r="N231" s="72">
        <f t="shared" si="65"/>
        <v>38.541325</v>
      </c>
      <c r="O231" s="72">
        <f t="shared" si="66"/>
        <v>115.623975</v>
      </c>
    </row>
    <row r="232" spans="3:15" ht="36">
      <c r="C232" s="75">
        <v>86913</v>
      </c>
      <c r="D232" s="75" t="s">
        <v>17</v>
      </c>
      <c r="E232" s="76" t="s">
        <v>486</v>
      </c>
      <c r="F232" s="75" t="s">
        <v>1</v>
      </c>
      <c r="G232" s="75"/>
      <c r="H232" s="75"/>
      <c r="I232" s="75"/>
      <c r="J232" s="75"/>
      <c r="K232" s="75"/>
      <c r="L232" s="74">
        <v>18.96</v>
      </c>
      <c r="M232" s="72">
        <f t="shared" si="64"/>
        <v>24.0792</v>
      </c>
      <c r="N232" s="72">
        <f t="shared" si="65"/>
        <v>6.0198</v>
      </c>
      <c r="O232" s="72">
        <f t="shared" si="66"/>
        <v>18.0594</v>
      </c>
    </row>
    <row r="233" spans="3:15" ht="48">
      <c r="C233" s="75">
        <v>86911</v>
      </c>
      <c r="D233" s="75" t="s">
        <v>17</v>
      </c>
      <c r="E233" s="76" t="s">
        <v>485</v>
      </c>
      <c r="F233" s="75" t="s">
        <v>1</v>
      </c>
      <c r="G233" s="75"/>
      <c r="H233" s="75"/>
      <c r="I233" s="75"/>
      <c r="J233" s="75"/>
      <c r="K233" s="75"/>
      <c r="L233" s="74">
        <v>44.64</v>
      </c>
      <c r="M233" s="72">
        <f t="shared" si="64"/>
        <v>56.6928</v>
      </c>
      <c r="N233" s="72">
        <f t="shared" si="65"/>
        <v>14.1732</v>
      </c>
      <c r="O233" s="72">
        <f t="shared" si="66"/>
        <v>42.5196</v>
      </c>
    </row>
    <row r="234" spans="3:15" ht="48">
      <c r="C234" s="75">
        <v>86894</v>
      </c>
      <c r="D234" s="75" t="s">
        <v>17</v>
      </c>
      <c r="E234" s="76" t="s">
        <v>484</v>
      </c>
      <c r="F234" s="75" t="s">
        <v>1</v>
      </c>
      <c r="G234" s="75"/>
      <c r="H234" s="75"/>
      <c r="I234" s="75"/>
      <c r="J234" s="75"/>
      <c r="K234" s="75"/>
      <c r="L234" s="74">
        <v>193.61</v>
      </c>
      <c r="M234" s="72">
        <f t="shared" si="64"/>
        <v>245.8847</v>
      </c>
      <c r="N234" s="72">
        <f t="shared" si="65"/>
        <v>61.471175</v>
      </c>
      <c r="O234" s="72">
        <f t="shared" si="66"/>
        <v>184.413525</v>
      </c>
    </row>
    <row r="235" spans="3:15" ht="36">
      <c r="C235" s="75">
        <v>9535</v>
      </c>
      <c r="D235" s="75" t="s">
        <v>17</v>
      </c>
      <c r="E235" s="76" t="s">
        <v>483</v>
      </c>
      <c r="F235" s="75" t="s">
        <v>1</v>
      </c>
      <c r="G235" s="75"/>
      <c r="H235" s="75"/>
      <c r="I235" s="75"/>
      <c r="J235" s="75"/>
      <c r="K235" s="75"/>
      <c r="L235" s="74">
        <v>45.4</v>
      </c>
      <c r="M235" s="72">
        <f aca="true" t="shared" si="67" ref="M235:M266">L235*(1+$L$199/100)</f>
        <v>57.658</v>
      </c>
      <c r="N235" s="72">
        <f aca="true" t="shared" si="68" ref="N235:N266">M235*($N$201/100)</f>
        <v>14.4145</v>
      </c>
      <c r="O235" s="72">
        <f aca="true" t="shared" si="69" ref="O235:O266">M235-N235</f>
        <v>43.2435</v>
      </c>
    </row>
    <row r="236" spans="3:15" ht="36">
      <c r="C236" s="75" t="s">
        <v>482</v>
      </c>
      <c r="D236" s="75" t="s">
        <v>17</v>
      </c>
      <c r="E236" s="76" t="s">
        <v>481</v>
      </c>
      <c r="F236" s="75" t="s">
        <v>1</v>
      </c>
      <c r="G236" s="75"/>
      <c r="H236" s="75"/>
      <c r="I236" s="75"/>
      <c r="J236" s="75"/>
      <c r="K236" s="75"/>
      <c r="L236" s="74">
        <v>132.88</v>
      </c>
      <c r="M236" s="72">
        <f t="shared" si="67"/>
        <v>168.7576</v>
      </c>
      <c r="N236" s="72">
        <f t="shared" si="68"/>
        <v>42.1894</v>
      </c>
      <c r="O236" s="72">
        <f t="shared" si="69"/>
        <v>126.56819999999999</v>
      </c>
    </row>
    <row r="237" spans="3:15" ht="72">
      <c r="C237" s="75" t="s">
        <v>480</v>
      </c>
      <c r="D237" s="75" t="s">
        <v>17</v>
      </c>
      <c r="E237" s="76" t="s">
        <v>479</v>
      </c>
      <c r="F237" s="75" t="s">
        <v>1</v>
      </c>
      <c r="G237" s="75"/>
      <c r="H237" s="75"/>
      <c r="I237" s="75"/>
      <c r="J237" s="75"/>
      <c r="K237" s="75"/>
      <c r="L237" s="74">
        <v>1352.7</v>
      </c>
      <c r="M237" s="72">
        <f t="shared" si="67"/>
        <v>1717.929</v>
      </c>
      <c r="N237" s="72">
        <f t="shared" si="68"/>
        <v>429.48225</v>
      </c>
      <c r="O237" s="72">
        <f t="shared" si="69"/>
        <v>1288.44675</v>
      </c>
    </row>
    <row r="238" spans="3:15" ht="60">
      <c r="C238" s="75" t="s">
        <v>478</v>
      </c>
      <c r="D238" s="75" t="s">
        <v>17</v>
      </c>
      <c r="E238" s="76" t="s">
        <v>477</v>
      </c>
      <c r="F238" s="75" t="s">
        <v>1</v>
      </c>
      <c r="G238" s="75"/>
      <c r="H238" s="75"/>
      <c r="I238" s="75"/>
      <c r="J238" s="75"/>
      <c r="K238" s="75"/>
      <c r="L238" s="74">
        <v>1400</v>
      </c>
      <c r="M238" s="72">
        <f t="shared" si="67"/>
        <v>1778</v>
      </c>
      <c r="N238" s="72">
        <f t="shared" si="68"/>
        <v>444.5</v>
      </c>
      <c r="O238" s="72">
        <f t="shared" si="69"/>
        <v>1333.5</v>
      </c>
    </row>
    <row r="239" spans="3:16" ht="60">
      <c r="C239" s="79" t="s">
        <v>476</v>
      </c>
      <c r="D239" s="79" t="s">
        <v>418</v>
      </c>
      <c r="E239" s="76" t="s">
        <v>475</v>
      </c>
      <c r="F239" s="79" t="s">
        <v>132</v>
      </c>
      <c r="G239" s="79"/>
      <c r="H239" s="79"/>
      <c r="I239" s="79"/>
      <c r="J239" s="79"/>
      <c r="K239" s="79"/>
      <c r="L239" s="78">
        <f>2.39*1.2</f>
        <v>2.868</v>
      </c>
      <c r="M239" s="72">
        <f t="shared" si="67"/>
        <v>3.64236</v>
      </c>
      <c r="N239" s="72">
        <f t="shared" si="68"/>
        <v>0.91059</v>
      </c>
      <c r="O239" s="72">
        <f t="shared" si="69"/>
        <v>2.73177</v>
      </c>
      <c r="P239" s="73"/>
    </row>
    <row r="240" spans="3:15" ht="60">
      <c r="C240" s="79" t="s">
        <v>474</v>
      </c>
      <c r="D240" s="79" t="s">
        <v>418</v>
      </c>
      <c r="E240" s="76" t="s">
        <v>473</v>
      </c>
      <c r="F240" s="79" t="s">
        <v>132</v>
      </c>
      <c r="G240" s="79"/>
      <c r="H240" s="79"/>
      <c r="I240" s="79"/>
      <c r="J240" s="79"/>
      <c r="K240" s="79"/>
      <c r="L240" s="78">
        <f>9*1.2</f>
        <v>10.799999999999999</v>
      </c>
      <c r="M240" s="72">
        <f t="shared" si="67"/>
        <v>13.716</v>
      </c>
      <c r="N240" s="72">
        <f t="shared" si="68"/>
        <v>3.429</v>
      </c>
      <c r="O240" s="72">
        <f t="shared" si="69"/>
        <v>10.286999999999999</v>
      </c>
    </row>
    <row r="241" spans="3:15" ht="60">
      <c r="C241" s="79" t="s">
        <v>472</v>
      </c>
      <c r="D241" s="79" t="s">
        <v>418</v>
      </c>
      <c r="E241" s="76" t="s">
        <v>471</v>
      </c>
      <c r="F241" s="79" t="s">
        <v>132</v>
      </c>
      <c r="G241" s="79"/>
      <c r="H241" s="79"/>
      <c r="I241" s="79"/>
      <c r="J241" s="79"/>
      <c r="K241" s="79"/>
      <c r="L241" s="78">
        <f>3.41*1.2</f>
        <v>4.092</v>
      </c>
      <c r="M241" s="72">
        <f t="shared" si="67"/>
        <v>5.19684</v>
      </c>
      <c r="N241" s="72">
        <f t="shared" si="68"/>
        <v>1.29921</v>
      </c>
      <c r="O241" s="72">
        <f t="shared" si="69"/>
        <v>3.89763</v>
      </c>
    </row>
    <row r="242" spans="3:15" ht="60">
      <c r="C242" s="79" t="s">
        <v>470</v>
      </c>
      <c r="D242" s="79" t="s">
        <v>418</v>
      </c>
      <c r="E242" s="76" t="s">
        <v>469</v>
      </c>
      <c r="F242" s="79" t="s">
        <v>132</v>
      </c>
      <c r="G242" s="79"/>
      <c r="H242" s="79"/>
      <c r="I242" s="79"/>
      <c r="J242" s="79"/>
      <c r="K242" s="79"/>
      <c r="L242" s="78">
        <f>5.85*1.2</f>
        <v>7.02</v>
      </c>
      <c r="M242" s="72">
        <f t="shared" si="67"/>
        <v>8.9154</v>
      </c>
      <c r="N242" s="72">
        <f t="shared" si="68"/>
        <v>2.22885</v>
      </c>
      <c r="O242" s="72">
        <f t="shared" si="69"/>
        <v>6.68655</v>
      </c>
    </row>
    <row r="243" spans="3:15" ht="36">
      <c r="C243" s="75" t="s">
        <v>468</v>
      </c>
      <c r="D243" s="75" t="s">
        <v>17</v>
      </c>
      <c r="E243" s="76" t="s">
        <v>467</v>
      </c>
      <c r="F243" s="75" t="s">
        <v>19</v>
      </c>
      <c r="G243" s="75"/>
      <c r="H243" s="75"/>
      <c r="I243" s="75"/>
      <c r="J243" s="75"/>
      <c r="K243" s="75"/>
      <c r="L243" s="74">
        <v>329.42</v>
      </c>
      <c r="M243" s="72">
        <f t="shared" si="67"/>
        <v>418.3634</v>
      </c>
      <c r="N243" s="72">
        <f t="shared" si="68"/>
        <v>104.59085</v>
      </c>
      <c r="O243" s="72">
        <f t="shared" si="69"/>
        <v>313.77255</v>
      </c>
    </row>
    <row r="244" spans="3:15" ht="24">
      <c r="C244" s="75">
        <v>6103</v>
      </c>
      <c r="D244" s="75" t="s">
        <v>17</v>
      </c>
      <c r="E244" s="76" t="s">
        <v>466</v>
      </c>
      <c r="F244" s="75" t="s">
        <v>19</v>
      </c>
      <c r="G244" s="75"/>
      <c r="H244" s="75"/>
      <c r="I244" s="75"/>
      <c r="J244" s="75"/>
      <c r="K244" s="75"/>
      <c r="L244" s="74">
        <v>154.63</v>
      </c>
      <c r="M244" s="72">
        <f t="shared" si="67"/>
        <v>196.3801</v>
      </c>
      <c r="N244" s="72">
        <f t="shared" si="68"/>
        <v>49.095025</v>
      </c>
      <c r="O244" s="72">
        <f t="shared" si="69"/>
        <v>147.285075</v>
      </c>
    </row>
    <row r="245" spans="3:15" ht="24">
      <c r="C245" s="75">
        <v>72122</v>
      </c>
      <c r="D245" s="75" t="s">
        <v>17</v>
      </c>
      <c r="E245" s="76" t="s">
        <v>465</v>
      </c>
      <c r="F245" s="75" t="s">
        <v>19</v>
      </c>
      <c r="G245" s="75"/>
      <c r="H245" s="75"/>
      <c r="I245" s="75"/>
      <c r="J245" s="75"/>
      <c r="K245" s="75"/>
      <c r="L245" s="74">
        <v>69.01</v>
      </c>
      <c r="M245" s="72">
        <f t="shared" si="67"/>
        <v>87.6427</v>
      </c>
      <c r="N245" s="72">
        <f t="shared" si="68"/>
        <v>21.910675</v>
      </c>
      <c r="O245" s="72">
        <f t="shared" si="69"/>
        <v>65.73202500000001</v>
      </c>
    </row>
    <row r="246" spans="3:15" ht="72">
      <c r="C246" s="75">
        <v>87904</v>
      </c>
      <c r="D246" s="75" t="s">
        <v>17</v>
      </c>
      <c r="E246" s="76" t="s">
        <v>464</v>
      </c>
      <c r="F246" s="75" t="s">
        <v>19</v>
      </c>
      <c r="G246" s="75"/>
      <c r="H246" s="75"/>
      <c r="I246" s="75"/>
      <c r="J246" s="75"/>
      <c r="K246" s="75"/>
      <c r="L246" s="74">
        <v>5.33</v>
      </c>
      <c r="M246" s="72">
        <f t="shared" si="67"/>
        <v>6.7691</v>
      </c>
      <c r="N246" s="72">
        <f t="shared" si="68"/>
        <v>1.692275</v>
      </c>
      <c r="O246" s="72">
        <f t="shared" si="69"/>
        <v>5.0768249999999995</v>
      </c>
    </row>
    <row r="247" spans="3:15" ht="60">
      <c r="C247" s="75">
        <v>87777</v>
      </c>
      <c r="D247" s="75" t="s">
        <v>17</v>
      </c>
      <c r="E247" s="76" t="s">
        <v>463</v>
      </c>
      <c r="F247" s="75" t="s">
        <v>19</v>
      </c>
      <c r="G247" s="75"/>
      <c r="H247" s="75"/>
      <c r="I247" s="75"/>
      <c r="J247" s="75"/>
      <c r="K247" s="75"/>
      <c r="L247" s="74">
        <v>34.64</v>
      </c>
      <c r="M247" s="72">
        <f t="shared" si="67"/>
        <v>43.9928</v>
      </c>
      <c r="N247" s="72">
        <f t="shared" si="68"/>
        <v>10.9982</v>
      </c>
      <c r="O247" s="72">
        <f t="shared" si="69"/>
        <v>32.994600000000005</v>
      </c>
    </row>
    <row r="248" spans="3:15" ht="36">
      <c r="C248" s="75" t="s">
        <v>462</v>
      </c>
      <c r="D248" s="75" t="s">
        <v>17</v>
      </c>
      <c r="E248" s="76" t="s">
        <v>461</v>
      </c>
      <c r="F248" s="75" t="s">
        <v>19</v>
      </c>
      <c r="G248" s="75"/>
      <c r="H248" s="75"/>
      <c r="I248" s="75"/>
      <c r="J248" s="75"/>
      <c r="K248" s="75"/>
      <c r="L248" s="74">
        <v>16.15</v>
      </c>
      <c r="M248" s="72">
        <f t="shared" si="67"/>
        <v>20.510499999999997</v>
      </c>
      <c r="N248" s="72">
        <f t="shared" si="68"/>
        <v>5.127624999999999</v>
      </c>
      <c r="O248" s="72">
        <f t="shared" si="69"/>
        <v>15.382874999999999</v>
      </c>
    </row>
    <row r="249" spans="3:15" ht="72">
      <c r="C249" s="75">
        <v>87269</v>
      </c>
      <c r="D249" s="75" t="s">
        <v>17</v>
      </c>
      <c r="E249" s="76" t="s">
        <v>460</v>
      </c>
      <c r="F249" s="75" t="s">
        <v>19</v>
      </c>
      <c r="G249" s="75"/>
      <c r="H249" s="75"/>
      <c r="I249" s="75"/>
      <c r="J249" s="75"/>
      <c r="K249" s="75"/>
      <c r="L249" s="74">
        <v>42.6</v>
      </c>
      <c r="M249" s="72">
        <f t="shared" si="67"/>
        <v>54.102000000000004</v>
      </c>
      <c r="N249" s="72">
        <f t="shared" si="68"/>
        <v>13.525500000000001</v>
      </c>
      <c r="O249" s="72">
        <f t="shared" si="69"/>
        <v>40.5765</v>
      </c>
    </row>
    <row r="250" spans="3:15" ht="15">
      <c r="C250" s="75">
        <v>73415</v>
      </c>
      <c r="D250" s="75" t="s">
        <v>17</v>
      </c>
      <c r="E250" s="76" t="s">
        <v>459</v>
      </c>
      <c r="F250" s="75" t="s">
        <v>19</v>
      </c>
      <c r="G250" s="75"/>
      <c r="H250" s="75"/>
      <c r="I250" s="75"/>
      <c r="J250" s="75"/>
      <c r="K250" s="75"/>
      <c r="L250" s="74">
        <v>12.37</v>
      </c>
      <c r="M250" s="72">
        <f t="shared" si="67"/>
        <v>15.7099</v>
      </c>
      <c r="N250" s="72">
        <f t="shared" si="68"/>
        <v>3.927475</v>
      </c>
      <c r="O250" s="72">
        <f t="shared" si="69"/>
        <v>11.782425</v>
      </c>
    </row>
    <row r="251" spans="3:15" ht="36">
      <c r="C251" s="75">
        <v>6067</v>
      </c>
      <c r="D251" s="75" t="s">
        <v>17</v>
      </c>
      <c r="E251" s="76" t="s">
        <v>458</v>
      </c>
      <c r="F251" s="75" t="s">
        <v>19</v>
      </c>
      <c r="G251" s="75"/>
      <c r="H251" s="75"/>
      <c r="I251" s="75"/>
      <c r="J251" s="75"/>
      <c r="K251" s="75"/>
      <c r="L251" s="74">
        <v>26.24</v>
      </c>
      <c r="M251" s="72">
        <f t="shared" si="67"/>
        <v>33.324799999999996</v>
      </c>
      <c r="N251" s="72">
        <f t="shared" si="68"/>
        <v>8.331199999999999</v>
      </c>
      <c r="O251" s="72">
        <f t="shared" si="69"/>
        <v>24.993599999999997</v>
      </c>
    </row>
    <row r="252" spans="3:15" ht="36">
      <c r="C252" s="75" t="s">
        <v>457</v>
      </c>
      <c r="D252" s="75" t="s">
        <v>17</v>
      </c>
      <c r="E252" s="76" t="s">
        <v>456</v>
      </c>
      <c r="F252" s="75" t="s">
        <v>1</v>
      </c>
      <c r="G252" s="75"/>
      <c r="H252" s="75"/>
      <c r="I252" s="75"/>
      <c r="J252" s="75"/>
      <c r="K252" s="75"/>
      <c r="L252" s="74">
        <v>24.44</v>
      </c>
      <c r="M252" s="72">
        <f t="shared" si="67"/>
        <v>31.038800000000002</v>
      </c>
      <c r="N252" s="72">
        <f t="shared" si="68"/>
        <v>7.7597000000000005</v>
      </c>
      <c r="O252" s="72">
        <f t="shared" si="69"/>
        <v>23.2791</v>
      </c>
    </row>
    <row r="253" spans="3:15" ht="24">
      <c r="C253" s="75">
        <v>72280</v>
      </c>
      <c r="D253" s="75" t="s">
        <v>17</v>
      </c>
      <c r="E253" s="76" t="s">
        <v>455</v>
      </c>
      <c r="F253" s="75" t="s">
        <v>1</v>
      </c>
      <c r="G253" s="75"/>
      <c r="H253" s="75"/>
      <c r="I253" s="75"/>
      <c r="J253" s="75"/>
      <c r="K253" s="75"/>
      <c r="L253" s="74">
        <v>37.37</v>
      </c>
      <c r="M253" s="72">
        <f t="shared" si="67"/>
        <v>47.4599</v>
      </c>
      <c r="N253" s="72">
        <f t="shared" si="68"/>
        <v>11.864975</v>
      </c>
      <c r="O253" s="72">
        <f t="shared" si="69"/>
        <v>35.594924999999996</v>
      </c>
    </row>
    <row r="254" spans="3:15" ht="48">
      <c r="C254" s="75" t="s">
        <v>454</v>
      </c>
      <c r="D254" s="75" t="s">
        <v>17</v>
      </c>
      <c r="E254" s="76" t="s">
        <v>453</v>
      </c>
      <c r="F254" s="75" t="s">
        <v>1</v>
      </c>
      <c r="G254" s="75"/>
      <c r="H254" s="75"/>
      <c r="I254" s="75"/>
      <c r="J254" s="75"/>
      <c r="K254" s="75"/>
      <c r="L254" s="74">
        <v>194.33</v>
      </c>
      <c r="M254" s="72">
        <f t="shared" si="67"/>
        <v>246.7991</v>
      </c>
      <c r="N254" s="72">
        <f t="shared" si="68"/>
        <v>61.699775</v>
      </c>
      <c r="O254" s="72">
        <f t="shared" si="69"/>
        <v>185.09932500000002</v>
      </c>
    </row>
    <row r="255" spans="3:15" ht="36">
      <c r="C255" s="75">
        <v>72331</v>
      </c>
      <c r="D255" s="75" t="s">
        <v>17</v>
      </c>
      <c r="E255" s="76" t="s">
        <v>452</v>
      </c>
      <c r="F255" s="75" t="s">
        <v>1</v>
      </c>
      <c r="G255" s="75"/>
      <c r="H255" s="75"/>
      <c r="I255" s="75"/>
      <c r="J255" s="75"/>
      <c r="K255" s="75"/>
      <c r="L255" s="74">
        <v>8.78</v>
      </c>
      <c r="M255" s="72">
        <f t="shared" si="67"/>
        <v>11.150599999999999</v>
      </c>
      <c r="N255" s="72">
        <f t="shared" si="68"/>
        <v>2.7876499999999997</v>
      </c>
      <c r="O255" s="72">
        <f t="shared" si="69"/>
        <v>8.36295</v>
      </c>
    </row>
    <row r="256" spans="3:15" ht="36">
      <c r="C256" s="75">
        <v>72332</v>
      </c>
      <c r="D256" s="75" t="s">
        <v>17</v>
      </c>
      <c r="E256" s="76" t="s">
        <v>451</v>
      </c>
      <c r="F256" s="75" t="s">
        <v>1</v>
      </c>
      <c r="G256" s="75"/>
      <c r="H256" s="75"/>
      <c r="I256" s="75"/>
      <c r="J256" s="75"/>
      <c r="K256" s="75"/>
      <c r="L256" s="74">
        <v>16.65</v>
      </c>
      <c r="M256" s="72">
        <f t="shared" si="67"/>
        <v>21.1455</v>
      </c>
      <c r="N256" s="72">
        <f t="shared" si="68"/>
        <v>5.286375</v>
      </c>
      <c r="O256" s="72">
        <f t="shared" si="69"/>
        <v>15.859124999999999</v>
      </c>
    </row>
    <row r="257" spans="3:15" ht="24">
      <c r="C257" s="75">
        <v>83540</v>
      </c>
      <c r="D257" s="75" t="s">
        <v>17</v>
      </c>
      <c r="E257" s="76" t="s">
        <v>450</v>
      </c>
      <c r="F257" s="75" t="s">
        <v>1</v>
      </c>
      <c r="G257" s="75"/>
      <c r="H257" s="75"/>
      <c r="I257" s="75"/>
      <c r="J257" s="75"/>
      <c r="K257" s="75"/>
      <c r="L257" s="74">
        <v>10.62</v>
      </c>
      <c r="M257" s="72">
        <f t="shared" si="67"/>
        <v>13.4874</v>
      </c>
      <c r="N257" s="72">
        <f t="shared" si="68"/>
        <v>3.37185</v>
      </c>
      <c r="O257" s="72">
        <f t="shared" si="69"/>
        <v>10.115549999999999</v>
      </c>
    </row>
    <row r="258" spans="3:15" ht="72">
      <c r="C258" s="75">
        <v>83463</v>
      </c>
      <c r="D258" s="75" t="s">
        <v>17</v>
      </c>
      <c r="E258" s="76" t="s">
        <v>449</v>
      </c>
      <c r="F258" s="75" t="s">
        <v>1</v>
      </c>
      <c r="G258" s="75"/>
      <c r="H258" s="75"/>
      <c r="I258" s="75"/>
      <c r="J258" s="75"/>
      <c r="K258" s="75"/>
      <c r="L258" s="74">
        <v>228.74</v>
      </c>
      <c r="M258" s="72">
        <f t="shared" si="67"/>
        <v>290.4998</v>
      </c>
      <c r="N258" s="72">
        <f t="shared" si="68"/>
        <v>72.62495</v>
      </c>
      <c r="O258" s="72">
        <f t="shared" si="69"/>
        <v>217.87484999999998</v>
      </c>
    </row>
    <row r="259" spans="3:15" ht="48">
      <c r="C259" s="75" t="s">
        <v>448</v>
      </c>
      <c r="D259" s="75" t="s">
        <v>17</v>
      </c>
      <c r="E259" s="76" t="s">
        <v>447</v>
      </c>
      <c r="F259" s="75" t="s">
        <v>1</v>
      </c>
      <c r="G259" s="75"/>
      <c r="H259" s="75"/>
      <c r="I259" s="75"/>
      <c r="J259" s="75"/>
      <c r="K259" s="75"/>
      <c r="L259" s="74">
        <v>10.18</v>
      </c>
      <c r="M259" s="72">
        <f t="shared" si="67"/>
        <v>12.9286</v>
      </c>
      <c r="N259" s="72">
        <f t="shared" si="68"/>
        <v>3.23215</v>
      </c>
      <c r="O259" s="72">
        <f t="shared" si="69"/>
        <v>9.696449999999999</v>
      </c>
    </row>
    <row r="260" spans="3:15" ht="48">
      <c r="C260" s="75" t="s">
        <v>446</v>
      </c>
      <c r="D260" s="75" t="s">
        <v>17</v>
      </c>
      <c r="E260" s="76" t="s">
        <v>445</v>
      </c>
      <c r="F260" s="75" t="s">
        <v>1</v>
      </c>
      <c r="G260" s="75"/>
      <c r="H260" s="75"/>
      <c r="I260" s="75"/>
      <c r="J260" s="75"/>
      <c r="K260" s="75"/>
      <c r="L260" s="74">
        <v>15.9</v>
      </c>
      <c r="M260" s="72">
        <f t="shared" si="67"/>
        <v>20.193</v>
      </c>
      <c r="N260" s="72">
        <f t="shared" si="68"/>
        <v>5.04825</v>
      </c>
      <c r="O260" s="72">
        <f t="shared" si="69"/>
        <v>15.144750000000002</v>
      </c>
    </row>
    <row r="261" spans="3:15" ht="36">
      <c r="C261" s="75" t="s">
        <v>444</v>
      </c>
      <c r="D261" s="75" t="s">
        <v>17</v>
      </c>
      <c r="E261" s="76" t="s">
        <v>443</v>
      </c>
      <c r="F261" s="75" t="s">
        <v>132</v>
      </c>
      <c r="G261" s="75"/>
      <c r="H261" s="75"/>
      <c r="I261" s="75"/>
      <c r="J261" s="75"/>
      <c r="K261" s="75"/>
      <c r="L261" s="74">
        <v>2.46</v>
      </c>
      <c r="M261" s="72">
        <f t="shared" si="67"/>
        <v>3.1242</v>
      </c>
      <c r="N261" s="72">
        <f t="shared" si="68"/>
        <v>0.78105</v>
      </c>
      <c r="O261" s="72">
        <f t="shared" si="69"/>
        <v>2.34315</v>
      </c>
    </row>
    <row r="262" spans="3:15" ht="36">
      <c r="C262" s="75" t="s">
        <v>442</v>
      </c>
      <c r="D262" s="75" t="s">
        <v>17</v>
      </c>
      <c r="E262" s="76" t="s">
        <v>441</v>
      </c>
      <c r="F262" s="75" t="s">
        <v>132</v>
      </c>
      <c r="G262" s="75"/>
      <c r="H262" s="75"/>
      <c r="I262" s="75"/>
      <c r="J262" s="75"/>
      <c r="K262" s="75"/>
      <c r="L262" s="74">
        <v>4.79</v>
      </c>
      <c r="M262" s="72">
        <f t="shared" si="67"/>
        <v>6.0833</v>
      </c>
      <c r="N262" s="72">
        <f t="shared" si="68"/>
        <v>1.520825</v>
      </c>
      <c r="O262" s="72">
        <f t="shared" si="69"/>
        <v>4.562475</v>
      </c>
    </row>
    <row r="263" spans="3:15" ht="36">
      <c r="C263" s="75">
        <v>72934</v>
      </c>
      <c r="D263" s="75" t="s">
        <v>17</v>
      </c>
      <c r="E263" s="76" t="s">
        <v>440</v>
      </c>
      <c r="F263" s="75" t="s">
        <v>132</v>
      </c>
      <c r="G263" s="75"/>
      <c r="H263" s="75"/>
      <c r="I263" s="75"/>
      <c r="J263" s="75"/>
      <c r="K263" s="75"/>
      <c r="L263" s="74">
        <v>4.48</v>
      </c>
      <c r="M263" s="72">
        <f t="shared" si="67"/>
        <v>5.6896</v>
      </c>
      <c r="N263" s="72">
        <f t="shared" si="68"/>
        <v>1.4224</v>
      </c>
      <c r="O263" s="72">
        <f t="shared" si="69"/>
        <v>4.267200000000001</v>
      </c>
    </row>
    <row r="264" spans="3:15" ht="60">
      <c r="C264" s="75">
        <v>9540</v>
      </c>
      <c r="D264" s="75" t="s">
        <v>17</v>
      </c>
      <c r="E264" s="76" t="s">
        <v>439</v>
      </c>
      <c r="F264" s="75" t="s">
        <v>1</v>
      </c>
      <c r="G264" s="75"/>
      <c r="H264" s="75"/>
      <c r="I264" s="75"/>
      <c r="J264" s="75"/>
      <c r="K264" s="75"/>
      <c r="L264" s="74">
        <v>836.07</v>
      </c>
      <c r="M264" s="72">
        <f t="shared" si="67"/>
        <v>1061.8089</v>
      </c>
      <c r="N264" s="72">
        <f t="shared" si="68"/>
        <v>265.452225</v>
      </c>
      <c r="O264" s="72">
        <f t="shared" si="69"/>
        <v>796.356675</v>
      </c>
    </row>
    <row r="265" spans="3:15" ht="36">
      <c r="C265" s="75" t="s">
        <v>438</v>
      </c>
      <c r="D265" s="75" t="s">
        <v>17</v>
      </c>
      <c r="E265" s="76" t="s">
        <v>437</v>
      </c>
      <c r="F265" s="75" t="s">
        <v>132</v>
      </c>
      <c r="G265" s="75"/>
      <c r="H265" s="75"/>
      <c r="I265" s="75"/>
      <c r="J265" s="75"/>
      <c r="K265" s="75"/>
      <c r="L265" s="74">
        <v>7.61</v>
      </c>
      <c r="M265" s="72">
        <f t="shared" si="67"/>
        <v>9.6647</v>
      </c>
      <c r="N265" s="72">
        <f t="shared" si="68"/>
        <v>2.416175</v>
      </c>
      <c r="O265" s="72">
        <f t="shared" si="69"/>
        <v>7.248525</v>
      </c>
    </row>
    <row r="266" spans="3:17" ht="48">
      <c r="C266" s="75" t="s">
        <v>436</v>
      </c>
      <c r="D266" s="75" t="s">
        <v>17</v>
      </c>
      <c r="E266" s="76" t="s">
        <v>435</v>
      </c>
      <c r="F266" s="75" t="s">
        <v>19</v>
      </c>
      <c r="G266" s="75"/>
      <c r="H266" s="75"/>
      <c r="I266" s="75"/>
      <c r="J266" s="75"/>
      <c r="K266" s="75"/>
      <c r="L266" s="74">
        <v>6.03</v>
      </c>
      <c r="M266" s="72">
        <f t="shared" si="67"/>
        <v>7.6581</v>
      </c>
      <c r="N266" s="72">
        <f t="shared" si="68"/>
        <v>1.914525</v>
      </c>
      <c r="O266" s="72">
        <f t="shared" si="69"/>
        <v>5.743575</v>
      </c>
      <c r="P266" s="1">
        <v>5.57</v>
      </c>
      <c r="Q266" s="1">
        <v>1.86</v>
      </c>
    </row>
    <row r="267" spans="3:15" ht="24">
      <c r="C267" s="84" t="s">
        <v>434</v>
      </c>
      <c r="D267" s="84" t="s">
        <v>17</v>
      </c>
      <c r="E267" s="85" t="s">
        <v>433</v>
      </c>
      <c r="F267" s="84" t="s">
        <v>1</v>
      </c>
      <c r="G267" s="84"/>
      <c r="H267" s="84"/>
      <c r="I267" s="84"/>
      <c r="J267" s="84"/>
      <c r="K267" s="84"/>
      <c r="L267" s="83">
        <v>166.3</v>
      </c>
      <c r="M267" s="72">
        <f aca="true" t="shared" si="70" ref="M267:M298">L267*(1+$L$199/100)</f>
        <v>211.20100000000002</v>
      </c>
      <c r="N267" s="72">
        <f aca="true" t="shared" si="71" ref="N267:N298">M267*($N$201/100)</f>
        <v>52.800250000000005</v>
      </c>
      <c r="O267" s="72">
        <f aca="true" t="shared" si="72" ref="O267:O298">M267-N267</f>
        <v>158.40075000000002</v>
      </c>
    </row>
    <row r="268" spans="3:15" ht="60">
      <c r="C268" s="81" t="s">
        <v>432</v>
      </c>
      <c r="D268" s="81" t="s">
        <v>418</v>
      </c>
      <c r="E268" s="82" t="s">
        <v>431</v>
      </c>
      <c r="F268" s="81" t="s">
        <v>1</v>
      </c>
      <c r="G268" s="81"/>
      <c r="H268" s="81"/>
      <c r="I268" s="81"/>
      <c r="J268" s="81"/>
      <c r="K268" s="81"/>
      <c r="L268" s="80">
        <v>25.85</v>
      </c>
      <c r="M268" s="72">
        <f t="shared" si="70"/>
        <v>32.8295</v>
      </c>
      <c r="N268" s="72">
        <f t="shared" si="71"/>
        <v>8.207375</v>
      </c>
      <c r="O268" s="72">
        <f t="shared" si="72"/>
        <v>24.622125000000004</v>
      </c>
    </row>
    <row r="269" spans="3:15" ht="60">
      <c r="C269" s="81" t="s">
        <v>430</v>
      </c>
      <c r="D269" s="81" t="s">
        <v>418</v>
      </c>
      <c r="E269" s="82" t="s">
        <v>429</v>
      </c>
      <c r="F269" s="81" t="s">
        <v>19</v>
      </c>
      <c r="G269" s="81"/>
      <c r="H269" s="81"/>
      <c r="I269" s="81"/>
      <c r="J269" s="81"/>
      <c r="K269" s="81"/>
      <c r="L269" s="80">
        <v>404.25</v>
      </c>
      <c r="M269" s="72">
        <f t="shared" si="70"/>
        <v>513.3975</v>
      </c>
      <c r="N269" s="72">
        <f t="shared" si="71"/>
        <v>128.349375</v>
      </c>
      <c r="O269" s="72">
        <f t="shared" si="72"/>
        <v>385.048125</v>
      </c>
    </row>
    <row r="270" spans="3:15" ht="60">
      <c r="C270" s="81" t="s">
        <v>428</v>
      </c>
      <c r="D270" s="81" t="s">
        <v>418</v>
      </c>
      <c r="E270" s="82" t="s">
        <v>427</v>
      </c>
      <c r="F270" s="81" t="s">
        <v>1</v>
      </c>
      <c r="G270" s="81"/>
      <c r="H270" s="81"/>
      <c r="I270" s="81"/>
      <c r="J270" s="81"/>
      <c r="K270" s="81"/>
      <c r="L270" s="80">
        <v>15.45</v>
      </c>
      <c r="M270" s="72">
        <f t="shared" si="70"/>
        <v>19.6215</v>
      </c>
      <c r="N270" s="72">
        <f t="shared" si="71"/>
        <v>4.905375</v>
      </c>
      <c r="O270" s="72">
        <f t="shared" si="72"/>
        <v>14.716125000000002</v>
      </c>
    </row>
    <row r="271" spans="3:15" ht="72">
      <c r="C271" s="75">
        <v>72284</v>
      </c>
      <c r="D271" s="75" t="s">
        <v>17</v>
      </c>
      <c r="E271" s="76" t="s">
        <v>426</v>
      </c>
      <c r="F271" s="75" t="s">
        <v>1</v>
      </c>
      <c r="G271" s="75"/>
      <c r="H271" s="75"/>
      <c r="I271" s="75"/>
      <c r="J271" s="75"/>
      <c r="K271" s="75"/>
      <c r="L271" s="74">
        <v>965.27</v>
      </c>
      <c r="M271" s="72">
        <f t="shared" si="70"/>
        <v>1225.8929</v>
      </c>
      <c r="N271" s="72">
        <f t="shared" si="71"/>
        <v>306.473225</v>
      </c>
      <c r="O271" s="72">
        <f t="shared" si="72"/>
        <v>919.4196750000001</v>
      </c>
    </row>
    <row r="272" spans="3:15" ht="60">
      <c r="C272" s="79" t="s">
        <v>334</v>
      </c>
      <c r="D272" s="79" t="s">
        <v>418</v>
      </c>
      <c r="E272" s="76" t="s">
        <v>425</v>
      </c>
      <c r="F272" s="79" t="s">
        <v>132</v>
      </c>
      <c r="G272" s="79"/>
      <c r="H272" s="79"/>
      <c r="I272" s="79"/>
      <c r="J272" s="79"/>
      <c r="K272" s="79"/>
      <c r="L272" s="78">
        <v>45.76</v>
      </c>
      <c r="M272" s="72">
        <f t="shared" si="70"/>
        <v>58.1152</v>
      </c>
      <c r="N272" s="72">
        <f t="shared" si="71"/>
        <v>14.5288</v>
      </c>
      <c r="O272" s="72">
        <f t="shared" si="72"/>
        <v>43.5864</v>
      </c>
    </row>
    <row r="273" spans="3:15" ht="48">
      <c r="C273" s="75" t="s">
        <v>424</v>
      </c>
      <c r="D273" s="75" t="s">
        <v>17</v>
      </c>
      <c r="E273" s="76" t="s">
        <v>423</v>
      </c>
      <c r="F273" s="75" t="s">
        <v>1</v>
      </c>
      <c r="G273" s="75"/>
      <c r="H273" s="75"/>
      <c r="I273" s="75"/>
      <c r="J273" s="75"/>
      <c r="K273" s="75"/>
      <c r="L273" s="74">
        <v>156.65</v>
      </c>
      <c r="M273" s="72">
        <f t="shared" si="70"/>
        <v>198.9455</v>
      </c>
      <c r="N273" s="72">
        <f t="shared" si="71"/>
        <v>49.736375</v>
      </c>
      <c r="O273" s="72">
        <f t="shared" si="72"/>
        <v>149.209125</v>
      </c>
    </row>
    <row r="274" spans="3:15" ht="24">
      <c r="C274" s="75" t="s">
        <v>422</v>
      </c>
      <c r="D274" s="75" t="s">
        <v>17</v>
      </c>
      <c r="E274" s="76" t="s">
        <v>421</v>
      </c>
      <c r="F274" s="75" t="s">
        <v>1</v>
      </c>
      <c r="G274" s="75"/>
      <c r="H274" s="75"/>
      <c r="I274" s="75"/>
      <c r="J274" s="75"/>
      <c r="K274" s="75"/>
      <c r="L274" s="74">
        <v>73.66</v>
      </c>
      <c r="M274" s="72">
        <f t="shared" si="70"/>
        <v>93.5482</v>
      </c>
      <c r="N274" s="72">
        <f t="shared" si="71"/>
        <v>23.38705</v>
      </c>
      <c r="O274" s="72">
        <f t="shared" si="72"/>
        <v>70.16114999999999</v>
      </c>
    </row>
    <row r="275" spans="3:15" ht="24">
      <c r="C275" s="75">
        <v>88503</v>
      </c>
      <c r="D275" s="75" t="s">
        <v>17</v>
      </c>
      <c r="E275" s="76" t="s">
        <v>420</v>
      </c>
      <c r="F275" s="75" t="s">
        <v>1</v>
      </c>
      <c r="G275" s="75"/>
      <c r="H275" s="75"/>
      <c r="I275" s="75"/>
      <c r="J275" s="75"/>
      <c r="K275" s="75"/>
      <c r="L275" s="74">
        <v>612.25</v>
      </c>
      <c r="M275" s="72">
        <f t="shared" si="70"/>
        <v>777.5575</v>
      </c>
      <c r="N275" s="72">
        <f t="shared" si="71"/>
        <v>194.389375</v>
      </c>
      <c r="O275" s="72">
        <f t="shared" si="72"/>
        <v>583.168125</v>
      </c>
    </row>
    <row r="276" spans="3:17" ht="60">
      <c r="C276" s="79" t="s">
        <v>419</v>
      </c>
      <c r="D276" s="79" t="s">
        <v>418</v>
      </c>
      <c r="E276" s="76" t="s">
        <v>417</v>
      </c>
      <c r="F276" s="79" t="s">
        <v>132</v>
      </c>
      <c r="G276" s="79"/>
      <c r="H276" s="79"/>
      <c r="I276" s="79"/>
      <c r="J276" s="79"/>
      <c r="K276" s="79"/>
      <c r="L276" s="78">
        <v>71.21</v>
      </c>
      <c r="M276" s="72">
        <f t="shared" si="70"/>
        <v>90.43669999999999</v>
      </c>
      <c r="N276" s="72">
        <f t="shared" si="71"/>
        <v>22.609174999999997</v>
      </c>
      <c r="O276" s="72">
        <f t="shared" si="72"/>
        <v>67.827525</v>
      </c>
      <c r="P276" s="73">
        <f>N276+N277</f>
        <v>28.324174999999997</v>
      </c>
      <c r="Q276" s="73">
        <f>O276+O277</f>
        <v>84.97252499999999</v>
      </c>
    </row>
    <row r="277" spans="3:15" ht="48">
      <c r="C277" s="75">
        <v>73724</v>
      </c>
      <c r="D277" s="75" t="s">
        <v>17</v>
      </c>
      <c r="E277" s="76" t="s">
        <v>416</v>
      </c>
      <c r="F277" s="75" t="s">
        <v>132</v>
      </c>
      <c r="G277" s="75"/>
      <c r="H277" s="75"/>
      <c r="I277" s="75"/>
      <c r="J277" s="75"/>
      <c r="K277" s="75"/>
      <c r="L277" s="74">
        <v>18</v>
      </c>
      <c r="M277" s="72">
        <f t="shared" si="70"/>
        <v>22.86</v>
      </c>
      <c r="N277" s="72">
        <f t="shared" si="71"/>
        <v>5.715</v>
      </c>
      <c r="O277" s="72">
        <f t="shared" si="72"/>
        <v>17.145</v>
      </c>
    </row>
    <row r="278" spans="3:15" ht="60">
      <c r="C278" s="75">
        <v>85253</v>
      </c>
      <c r="D278" s="75" t="s">
        <v>17</v>
      </c>
      <c r="E278" s="76" t="s">
        <v>415</v>
      </c>
      <c r="F278" s="75" t="s">
        <v>19</v>
      </c>
      <c r="G278" s="75"/>
      <c r="H278" s="75"/>
      <c r="I278" s="75"/>
      <c r="J278" s="75"/>
      <c r="K278" s="75"/>
      <c r="L278" s="74">
        <v>151.09</v>
      </c>
      <c r="M278" s="72">
        <f t="shared" si="70"/>
        <v>191.8843</v>
      </c>
      <c r="N278" s="72">
        <f t="shared" si="71"/>
        <v>47.971075</v>
      </c>
      <c r="O278" s="72">
        <f t="shared" si="72"/>
        <v>143.913225</v>
      </c>
    </row>
    <row r="279" spans="3:15" ht="60">
      <c r="C279" s="75">
        <v>90822</v>
      </c>
      <c r="D279" s="75" t="s">
        <v>17</v>
      </c>
      <c r="E279" s="76" t="s">
        <v>414</v>
      </c>
      <c r="F279" s="75" t="s">
        <v>1</v>
      </c>
      <c r="G279" s="75"/>
      <c r="H279" s="75"/>
      <c r="I279" s="75"/>
      <c r="J279" s="75"/>
      <c r="K279" s="75"/>
      <c r="L279" s="74">
        <v>169.28</v>
      </c>
      <c r="M279" s="72">
        <f t="shared" si="70"/>
        <v>214.9856</v>
      </c>
      <c r="N279" s="72">
        <f t="shared" si="71"/>
        <v>53.7464</v>
      </c>
      <c r="O279" s="72">
        <f t="shared" si="72"/>
        <v>161.2392</v>
      </c>
    </row>
    <row r="280" spans="3:15" ht="60">
      <c r="C280" s="75">
        <v>90823</v>
      </c>
      <c r="D280" s="75" t="s">
        <v>17</v>
      </c>
      <c r="E280" s="76" t="s">
        <v>413</v>
      </c>
      <c r="F280" s="75" t="s">
        <v>1</v>
      </c>
      <c r="G280" s="75"/>
      <c r="H280" s="75"/>
      <c r="I280" s="75"/>
      <c r="J280" s="75"/>
      <c r="K280" s="75"/>
      <c r="L280" s="74">
        <v>183</v>
      </c>
      <c r="M280" s="72">
        <f t="shared" si="70"/>
        <v>232.41</v>
      </c>
      <c r="N280" s="72">
        <f t="shared" si="71"/>
        <v>58.1025</v>
      </c>
      <c r="O280" s="72">
        <f t="shared" si="72"/>
        <v>174.3075</v>
      </c>
    </row>
    <row r="281" spans="5:15" ht="15">
      <c r="E281" s="1" t="s">
        <v>412</v>
      </c>
      <c r="F281" s="75" t="s">
        <v>1</v>
      </c>
      <c r="G281" s="77"/>
      <c r="H281" s="77"/>
      <c r="I281" s="77"/>
      <c r="J281" s="77"/>
      <c r="K281" s="77"/>
      <c r="L281" s="1">
        <v>32.5</v>
      </c>
      <c r="M281" s="72">
        <f t="shared" si="70"/>
        <v>41.275</v>
      </c>
      <c r="N281" s="72">
        <f t="shared" si="71"/>
        <v>10.31875</v>
      </c>
      <c r="O281" s="72">
        <f t="shared" si="72"/>
        <v>30.956249999999997</v>
      </c>
    </row>
    <row r="282" spans="3:15" ht="36">
      <c r="C282" s="75">
        <v>83399</v>
      </c>
      <c r="D282" s="75" t="s">
        <v>17</v>
      </c>
      <c r="E282" s="76" t="s">
        <v>411</v>
      </c>
      <c r="F282" s="75" t="s">
        <v>1</v>
      </c>
      <c r="G282" s="75"/>
      <c r="H282" s="75"/>
      <c r="I282" s="75"/>
      <c r="J282" s="75"/>
      <c r="K282" s="75"/>
      <c r="L282" s="74">
        <v>39.5</v>
      </c>
      <c r="M282" s="72">
        <f t="shared" si="70"/>
        <v>50.165</v>
      </c>
      <c r="N282" s="72">
        <f t="shared" si="71"/>
        <v>12.54125</v>
      </c>
      <c r="O282" s="72">
        <f t="shared" si="72"/>
        <v>37.62375</v>
      </c>
    </row>
    <row r="283" spans="13:15" ht="15">
      <c r="M283" s="72">
        <f t="shared" si="70"/>
        <v>0</v>
      </c>
      <c r="N283" s="72">
        <f t="shared" si="71"/>
        <v>0</v>
      </c>
      <c r="O283" s="72">
        <f t="shared" si="72"/>
        <v>0</v>
      </c>
    </row>
    <row r="284" spans="13:18" ht="15">
      <c r="M284" s="72">
        <f t="shared" si="70"/>
        <v>0</v>
      </c>
      <c r="N284" s="72">
        <f t="shared" si="71"/>
        <v>0</v>
      </c>
      <c r="O284" s="72">
        <f t="shared" si="72"/>
        <v>0</v>
      </c>
      <c r="R284" s="73"/>
    </row>
    <row r="285" spans="13:15" ht="15">
      <c r="M285" s="72">
        <f t="shared" si="70"/>
        <v>0</v>
      </c>
      <c r="N285" s="72">
        <f t="shared" si="71"/>
        <v>0</v>
      </c>
      <c r="O285" s="72">
        <f t="shared" si="72"/>
        <v>0</v>
      </c>
    </row>
    <row r="286" spans="13:15" ht="15">
      <c r="M286" s="72">
        <f t="shared" si="70"/>
        <v>0</v>
      </c>
      <c r="N286" s="72">
        <f t="shared" si="71"/>
        <v>0</v>
      </c>
      <c r="O286" s="72">
        <f t="shared" si="72"/>
        <v>0</v>
      </c>
    </row>
    <row r="287" spans="13:15" ht="15">
      <c r="M287" s="72">
        <f t="shared" si="70"/>
        <v>0</v>
      </c>
      <c r="N287" s="72">
        <f t="shared" si="71"/>
        <v>0</v>
      </c>
      <c r="O287" s="72">
        <f t="shared" si="72"/>
        <v>0</v>
      </c>
    </row>
    <row r="288" spans="13:15" ht="15">
      <c r="M288" s="72">
        <f t="shared" si="70"/>
        <v>0</v>
      </c>
      <c r="N288" s="72">
        <f t="shared" si="71"/>
        <v>0</v>
      </c>
      <c r="O288" s="72">
        <f t="shared" si="72"/>
        <v>0</v>
      </c>
    </row>
    <row r="289" spans="13:15" ht="15">
      <c r="M289" s="72">
        <f t="shared" si="70"/>
        <v>0</v>
      </c>
      <c r="N289" s="72">
        <f t="shared" si="71"/>
        <v>0</v>
      </c>
      <c r="O289" s="72">
        <f t="shared" si="72"/>
        <v>0</v>
      </c>
    </row>
    <row r="290" spans="13:15" ht="15">
      <c r="M290" s="72">
        <f t="shared" si="70"/>
        <v>0</v>
      </c>
      <c r="N290" s="72">
        <f t="shared" si="71"/>
        <v>0</v>
      </c>
      <c r="O290" s="72">
        <f t="shared" si="72"/>
        <v>0</v>
      </c>
    </row>
    <row r="291" spans="13:15" ht="15">
      <c r="M291" s="72">
        <f t="shared" si="70"/>
        <v>0</v>
      </c>
      <c r="N291" s="72">
        <f t="shared" si="71"/>
        <v>0</v>
      </c>
      <c r="O291" s="72">
        <f t="shared" si="72"/>
        <v>0</v>
      </c>
    </row>
    <row r="292" spans="13:15" ht="15">
      <c r="M292" s="72">
        <f t="shared" si="70"/>
        <v>0</v>
      </c>
      <c r="N292" s="72">
        <f t="shared" si="71"/>
        <v>0</v>
      </c>
      <c r="O292" s="72">
        <f t="shared" si="72"/>
        <v>0</v>
      </c>
    </row>
    <row r="293" spans="13:15" ht="15">
      <c r="M293" s="72">
        <f t="shared" si="70"/>
        <v>0</v>
      </c>
      <c r="N293" s="72">
        <f t="shared" si="71"/>
        <v>0</v>
      </c>
      <c r="O293" s="72">
        <f t="shared" si="72"/>
        <v>0</v>
      </c>
    </row>
    <row r="294" spans="13:15" ht="15">
      <c r="M294" s="72">
        <f t="shared" si="70"/>
        <v>0</v>
      </c>
      <c r="N294" s="72">
        <f t="shared" si="71"/>
        <v>0</v>
      </c>
      <c r="O294" s="72">
        <f t="shared" si="72"/>
        <v>0</v>
      </c>
    </row>
    <row r="295" spans="13:15" ht="15">
      <c r="M295" s="72">
        <f t="shared" si="70"/>
        <v>0</v>
      </c>
      <c r="N295" s="72">
        <f t="shared" si="71"/>
        <v>0</v>
      </c>
      <c r="O295" s="72">
        <f t="shared" si="72"/>
        <v>0</v>
      </c>
    </row>
    <row r="296" spans="13:15" ht="15">
      <c r="M296" s="72">
        <f t="shared" si="70"/>
        <v>0</v>
      </c>
      <c r="N296" s="72">
        <f t="shared" si="71"/>
        <v>0</v>
      </c>
      <c r="O296" s="72">
        <f t="shared" si="72"/>
        <v>0</v>
      </c>
    </row>
    <row r="297" spans="13:15" ht="15">
      <c r="M297" s="72">
        <f t="shared" si="70"/>
        <v>0</v>
      </c>
      <c r="N297" s="72">
        <f t="shared" si="71"/>
        <v>0</v>
      </c>
      <c r="O297" s="72">
        <f t="shared" si="72"/>
        <v>0</v>
      </c>
    </row>
    <row r="298" spans="13:15" ht="15">
      <c r="M298" s="72">
        <f t="shared" si="70"/>
        <v>0</v>
      </c>
      <c r="N298" s="72">
        <f t="shared" si="71"/>
        <v>0</v>
      </c>
      <c r="O298" s="72">
        <f t="shared" si="72"/>
        <v>0</v>
      </c>
    </row>
    <row r="299" spans="13:15" ht="15">
      <c r="M299" s="72">
        <f>L299*(1+$L$199/100)</f>
        <v>0</v>
      </c>
      <c r="N299" s="72">
        <f>M299*($N$201/100)</f>
        <v>0</v>
      </c>
      <c r="O299" s="72">
        <f>M299-N299</f>
        <v>0</v>
      </c>
    </row>
  </sheetData>
  <sheetProtection/>
  <mergeCells count="7">
    <mergeCell ref="B7:Q7"/>
    <mergeCell ref="B6:Q6"/>
    <mergeCell ref="D8:L8"/>
    <mergeCell ref="M8:N8"/>
    <mergeCell ref="D191:P191"/>
    <mergeCell ref="O8:P8"/>
    <mergeCell ref="Q8:Q9"/>
  </mergeCells>
  <conditionalFormatting sqref="C203:L203 E121:K122 F123:K125">
    <cfRule type="expression" priority="173" dxfId="0" stopIfTrue="1">
      <formula>$P121=1</formula>
    </cfRule>
  </conditionalFormatting>
  <conditionalFormatting sqref="C204:L204">
    <cfRule type="expression" priority="172" dxfId="0" stopIfTrue="1">
      <formula>$P204=1</formula>
    </cfRule>
  </conditionalFormatting>
  <conditionalFormatting sqref="C205:L205">
    <cfRule type="expression" priority="171" dxfId="0" stopIfTrue="1">
      <formula>$P205=1</formula>
    </cfRule>
  </conditionalFormatting>
  <conditionalFormatting sqref="C206:L206">
    <cfRule type="expression" priority="170" dxfId="0" stopIfTrue="1">
      <formula>$P206=1</formula>
    </cfRule>
  </conditionalFormatting>
  <conditionalFormatting sqref="C207:L207">
    <cfRule type="expression" priority="169" dxfId="0" stopIfTrue="1">
      <formula>$P207=1</formula>
    </cfRule>
  </conditionalFormatting>
  <conditionalFormatting sqref="C208:L208">
    <cfRule type="expression" priority="168" dxfId="0" stopIfTrue="1">
      <formula>$P208=1</formula>
    </cfRule>
  </conditionalFormatting>
  <conditionalFormatting sqref="C209:L209">
    <cfRule type="expression" priority="167" dxfId="0" stopIfTrue="1">
      <formula>$P209=1</formula>
    </cfRule>
  </conditionalFormatting>
  <conditionalFormatting sqref="C224:L224">
    <cfRule type="expression" priority="152" dxfId="0" stopIfTrue="1">
      <formula>$P224=1</formula>
    </cfRule>
  </conditionalFormatting>
  <conditionalFormatting sqref="C210:L210">
    <cfRule type="expression" priority="166" dxfId="0" stopIfTrue="1">
      <formula>$P210=1</formula>
    </cfRule>
  </conditionalFormatting>
  <conditionalFormatting sqref="C211:L211">
    <cfRule type="expression" priority="165" dxfId="0" stopIfTrue="1">
      <formula>$P211=1</formula>
    </cfRule>
  </conditionalFormatting>
  <conditionalFormatting sqref="C212:L212">
    <cfRule type="expression" priority="164" dxfId="0" stopIfTrue="1">
      <formula>$P212=1</formula>
    </cfRule>
  </conditionalFormatting>
  <conditionalFormatting sqref="C213:L213">
    <cfRule type="expression" priority="163" dxfId="0" stopIfTrue="1">
      <formula>$P213=1</formula>
    </cfRule>
  </conditionalFormatting>
  <conditionalFormatting sqref="C214:L214">
    <cfRule type="expression" priority="162" dxfId="0" stopIfTrue="1">
      <formula>$P214=1</formula>
    </cfRule>
  </conditionalFormatting>
  <conditionalFormatting sqref="C215:L215">
    <cfRule type="expression" priority="161" dxfId="0" stopIfTrue="1">
      <formula>$P215=1</formula>
    </cfRule>
  </conditionalFormatting>
  <conditionalFormatting sqref="C216:L216">
    <cfRule type="expression" priority="160" dxfId="0" stopIfTrue="1">
      <formula>$P216=1</formula>
    </cfRule>
  </conditionalFormatting>
  <conditionalFormatting sqref="C217:L217">
    <cfRule type="expression" priority="159" dxfId="0" stopIfTrue="1">
      <formula>$P217=1</formula>
    </cfRule>
  </conditionalFormatting>
  <conditionalFormatting sqref="C218:L218">
    <cfRule type="expression" priority="158" dxfId="0" stopIfTrue="1">
      <formula>$P218=1</formula>
    </cfRule>
  </conditionalFormatting>
  <conditionalFormatting sqref="C219:L219">
    <cfRule type="expression" priority="157" dxfId="0" stopIfTrue="1">
      <formula>$P219=1</formula>
    </cfRule>
  </conditionalFormatting>
  <conditionalFormatting sqref="C220:L220">
    <cfRule type="expression" priority="156" dxfId="0" stopIfTrue="1">
      <formula>$P220=1</formula>
    </cfRule>
  </conditionalFormatting>
  <conditionalFormatting sqref="C221:L221">
    <cfRule type="expression" priority="155" dxfId="0" stopIfTrue="1">
      <formula>$P221=1</formula>
    </cfRule>
  </conditionalFormatting>
  <conditionalFormatting sqref="C222:L222">
    <cfRule type="expression" priority="154" dxfId="0" stopIfTrue="1">
      <formula>$P222=1</formula>
    </cfRule>
  </conditionalFormatting>
  <conditionalFormatting sqref="C223:L223">
    <cfRule type="expression" priority="153" dxfId="0" stopIfTrue="1">
      <formula>$P223=1</formula>
    </cfRule>
  </conditionalFormatting>
  <conditionalFormatting sqref="C225:L225">
    <cfRule type="expression" priority="151" dxfId="0" stopIfTrue="1">
      <formula>$P225=1</formula>
    </cfRule>
  </conditionalFormatting>
  <conditionalFormatting sqref="C226:L226">
    <cfRule type="expression" priority="150" dxfId="0" stopIfTrue="1">
      <formula>$P226=1</formula>
    </cfRule>
  </conditionalFormatting>
  <conditionalFormatting sqref="D107">
    <cfRule type="expression" priority="149" dxfId="0" stopIfTrue="1">
      <formula>$P107=1</formula>
    </cfRule>
  </conditionalFormatting>
  <conditionalFormatting sqref="C233:L233">
    <cfRule type="expression" priority="140" dxfId="0" stopIfTrue="1">
      <formula>$P233=1</formula>
    </cfRule>
  </conditionalFormatting>
  <conditionalFormatting sqref="C227:L227">
    <cfRule type="expression" priority="148" dxfId="0" stopIfTrue="1">
      <formula>$P227=1</formula>
    </cfRule>
  </conditionalFormatting>
  <conditionalFormatting sqref="C228:L228">
    <cfRule type="expression" priority="147" dxfId="0" stopIfTrue="1">
      <formula>$P228=1</formula>
    </cfRule>
  </conditionalFormatting>
  <conditionalFormatting sqref="E112">
    <cfRule type="expression" priority="141" dxfId="0" stopIfTrue="1">
      <formula>$P112=1</formula>
    </cfRule>
  </conditionalFormatting>
  <conditionalFormatting sqref="C229:L229">
    <cfRule type="expression" priority="146" dxfId="0" stopIfTrue="1">
      <formula>$P229=1</formula>
    </cfRule>
  </conditionalFormatting>
  <conditionalFormatting sqref="C230:L230">
    <cfRule type="expression" priority="145" dxfId="0" stopIfTrue="1">
      <formula>$P230=1</formula>
    </cfRule>
  </conditionalFormatting>
  <conditionalFormatting sqref="E111">
    <cfRule type="expression" priority="144" dxfId="0" stopIfTrue="1">
      <formula>$P111=1</formula>
    </cfRule>
  </conditionalFormatting>
  <conditionalFormatting sqref="C231:L231">
    <cfRule type="expression" priority="143" dxfId="0" stopIfTrue="1">
      <formula>$P231=1</formula>
    </cfRule>
  </conditionalFormatting>
  <conditionalFormatting sqref="C236:L236">
    <cfRule type="expression" priority="136" dxfId="0" stopIfTrue="1">
      <formula>$P236=1</formula>
    </cfRule>
  </conditionalFormatting>
  <conditionalFormatting sqref="C232:L232">
    <cfRule type="expression" priority="142" dxfId="0" stopIfTrue="1">
      <formula>$P232=1</formula>
    </cfRule>
  </conditionalFormatting>
  <conditionalFormatting sqref="C234:L234">
    <cfRule type="expression" priority="139" dxfId="0" stopIfTrue="1">
      <formula>$P234=1</formula>
    </cfRule>
  </conditionalFormatting>
  <conditionalFormatting sqref="C237:L237">
    <cfRule type="expression" priority="134" dxfId="0" stopIfTrue="1">
      <formula>$P237=1</formula>
    </cfRule>
  </conditionalFormatting>
  <conditionalFormatting sqref="E118">
    <cfRule type="expression" priority="127" dxfId="0" stopIfTrue="1">
      <formula>$P118=1</formula>
    </cfRule>
  </conditionalFormatting>
  <conditionalFormatting sqref="C238:L238">
    <cfRule type="expression" priority="132" dxfId="0" stopIfTrue="1">
      <formula>$P238=1</formula>
    </cfRule>
  </conditionalFormatting>
  <conditionalFormatting sqref="C235:L235">
    <cfRule type="expression" priority="137" dxfId="0" stopIfTrue="1">
      <formula>$P235=1</formula>
    </cfRule>
  </conditionalFormatting>
  <conditionalFormatting sqref="C245:L245">
    <cfRule type="expression" priority="121" dxfId="0" stopIfTrue="1">
      <formula>$P245=1</formula>
    </cfRule>
  </conditionalFormatting>
  <conditionalFormatting sqref="E113">
    <cfRule type="expression" priority="138" dxfId="0" stopIfTrue="1">
      <formula>$P113=1</formula>
    </cfRule>
  </conditionalFormatting>
  <conditionalFormatting sqref="E114">
    <cfRule type="expression" priority="135" dxfId="0" stopIfTrue="1">
      <formula>$P114=1</formula>
    </cfRule>
  </conditionalFormatting>
  <conditionalFormatting sqref="C249:L249">
    <cfRule type="expression" priority="117" dxfId="0" stopIfTrue="1">
      <formula>$P249=1</formula>
    </cfRule>
  </conditionalFormatting>
  <conditionalFormatting sqref="E115">
    <cfRule type="expression" priority="133" dxfId="0" stopIfTrue="1">
      <formula>$P115=1</formula>
    </cfRule>
  </conditionalFormatting>
  <conditionalFormatting sqref="E116">
    <cfRule type="expression" priority="131" dxfId="0" stopIfTrue="1">
      <formula>$P116=1</formula>
    </cfRule>
  </conditionalFormatting>
  <conditionalFormatting sqref="C239:L239 F153:K153 G149:K152 G154:K155 D45:D46 G176:K188">
    <cfRule type="expression" priority="130" dxfId="0" stopIfTrue="1">
      <formula>#REF!=1</formula>
    </cfRule>
  </conditionalFormatting>
  <conditionalFormatting sqref="C241:L241">
    <cfRule type="expression" priority="126" dxfId="0" stopIfTrue="1">
      <formula>#REF!=1</formula>
    </cfRule>
  </conditionalFormatting>
  <conditionalFormatting sqref="E117">
    <cfRule type="expression" priority="129" dxfId="0" stopIfTrue="1">
      <formula>$P117=1</formula>
    </cfRule>
  </conditionalFormatting>
  <conditionalFormatting sqref="C240:L240">
    <cfRule type="expression" priority="128" dxfId="0" stopIfTrue="1">
      <formula>#REF!=1</formula>
    </cfRule>
  </conditionalFormatting>
  <conditionalFormatting sqref="E119">
    <cfRule type="expression" priority="125" dxfId="0" stopIfTrue="1">
      <formula>$P119=1</formula>
    </cfRule>
  </conditionalFormatting>
  <conditionalFormatting sqref="C242:L242">
    <cfRule type="expression" priority="124" dxfId="0" stopIfTrue="1">
      <formula>#REF!=1</formula>
    </cfRule>
  </conditionalFormatting>
  <conditionalFormatting sqref="C243:L243">
    <cfRule type="expression" priority="123" dxfId="0" stopIfTrue="1">
      <formula>$P243=1</formula>
    </cfRule>
  </conditionalFormatting>
  <conditionalFormatting sqref="C244:L244">
    <cfRule type="expression" priority="122" dxfId="0" stopIfTrue="1">
      <formula>$P244=1</formula>
    </cfRule>
  </conditionalFormatting>
  <conditionalFormatting sqref="C246:L246">
    <cfRule type="expression" priority="120" dxfId="0" stopIfTrue="1">
      <formula>$P246=1</formula>
    </cfRule>
  </conditionalFormatting>
  <conditionalFormatting sqref="C251:L251">
    <cfRule type="expression" priority="115" dxfId="0" stopIfTrue="1">
      <formula>$P251=1</formula>
    </cfRule>
  </conditionalFormatting>
  <conditionalFormatting sqref="C248:L248">
    <cfRule type="expression" priority="118" dxfId="0" stopIfTrue="1">
      <formula>$P248=1</formula>
    </cfRule>
  </conditionalFormatting>
  <conditionalFormatting sqref="C247:L247">
    <cfRule type="expression" priority="119" dxfId="0" stopIfTrue="1">
      <formula>$P247=1</formula>
    </cfRule>
  </conditionalFormatting>
  <conditionalFormatting sqref="C250:L250">
    <cfRule type="expression" priority="116" dxfId="0" stopIfTrue="1">
      <formula>$P250=1</formula>
    </cfRule>
  </conditionalFormatting>
  <conditionalFormatting sqref="C252:L252">
    <cfRule type="expression" priority="114" dxfId="0" stopIfTrue="1">
      <formula>$P252=1</formula>
    </cfRule>
  </conditionalFormatting>
  <conditionalFormatting sqref="C254:L254">
    <cfRule type="expression" priority="113" dxfId="0" stopIfTrue="1">
      <formula>$P254=1</formula>
    </cfRule>
  </conditionalFormatting>
  <conditionalFormatting sqref="C257:L257">
    <cfRule type="expression" priority="109" dxfId="0" stopIfTrue="1">
      <formula>$P257=1</formula>
    </cfRule>
  </conditionalFormatting>
  <conditionalFormatting sqref="C253:L253">
    <cfRule type="expression" priority="112" dxfId="0" stopIfTrue="1">
      <formula>$P253=1</formula>
    </cfRule>
  </conditionalFormatting>
  <conditionalFormatting sqref="C255:L255">
    <cfRule type="expression" priority="111" dxfId="0" stopIfTrue="1">
      <formula>$P255=1</formula>
    </cfRule>
  </conditionalFormatting>
  <conditionalFormatting sqref="C256:L256">
    <cfRule type="expression" priority="110" dxfId="0" stopIfTrue="1">
      <formula>$P256=1</formula>
    </cfRule>
  </conditionalFormatting>
  <conditionalFormatting sqref="C263:L263">
    <cfRule type="expression" priority="103" dxfId="0" stopIfTrue="1">
      <formula>$P263=1</formula>
    </cfRule>
  </conditionalFormatting>
  <conditionalFormatting sqref="C258:L258">
    <cfRule type="expression" priority="108" dxfId="0" stopIfTrue="1">
      <formula>$P258=1</formula>
    </cfRule>
  </conditionalFormatting>
  <conditionalFormatting sqref="C259:L259">
    <cfRule type="expression" priority="107" dxfId="0" stopIfTrue="1">
      <formula>$P259=1</formula>
    </cfRule>
  </conditionalFormatting>
  <conditionalFormatting sqref="C260:L260">
    <cfRule type="expression" priority="106" dxfId="0" stopIfTrue="1">
      <formula>$P260=1</formula>
    </cfRule>
  </conditionalFormatting>
  <conditionalFormatting sqref="C261:L261">
    <cfRule type="expression" priority="105" dxfId="0" stopIfTrue="1">
      <formula>$P261=1</formula>
    </cfRule>
  </conditionalFormatting>
  <conditionalFormatting sqref="C262:L262">
    <cfRule type="expression" priority="104" dxfId="0" stopIfTrue="1">
      <formula>$P262=1</formula>
    </cfRule>
  </conditionalFormatting>
  <conditionalFormatting sqref="C264:L264">
    <cfRule type="expression" priority="102" dxfId="0" stopIfTrue="1">
      <formula>$P264=1</formula>
    </cfRule>
  </conditionalFormatting>
  <conditionalFormatting sqref="E120">
    <cfRule type="expression" priority="101" dxfId="0" stopIfTrue="1">
      <formula>$P120=1</formula>
    </cfRule>
  </conditionalFormatting>
  <conditionalFormatting sqref="C265:L265">
    <cfRule type="expression" priority="100" dxfId="0" stopIfTrue="1">
      <formula>$P265=1</formula>
    </cfRule>
  </conditionalFormatting>
  <conditionalFormatting sqref="D99">
    <cfRule type="expression" priority="99" dxfId="0" stopIfTrue="1">
      <formula>$P99=1</formula>
    </cfRule>
  </conditionalFormatting>
  <conditionalFormatting sqref="C266:L266">
    <cfRule type="expression" priority="98" dxfId="0" stopIfTrue="1">
      <formula>$P266=1</formula>
    </cfRule>
  </conditionalFormatting>
  <conditionalFormatting sqref="C267:L267">
    <cfRule type="expression" priority="97" dxfId="0" stopIfTrue="1">
      <formula>$P267=1</formula>
    </cfRule>
  </conditionalFormatting>
  <conditionalFormatting sqref="G145:K146">
    <cfRule type="expression" priority="96" dxfId="0" stopIfTrue="1">
      <formula>$P145=1</formula>
    </cfRule>
  </conditionalFormatting>
  <conditionalFormatting sqref="C268:L268">
    <cfRule type="expression" priority="95" dxfId="0" stopIfTrue="1">
      <formula>#REF!=1</formula>
    </cfRule>
  </conditionalFormatting>
  <conditionalFormatting sqref="C156:D156">
    <cfRule type="expression" priority="94" dxfId="0" stopIfTrue="1">
      <formula>#REF!=1</formula>
    </cfRule>
  </conditionalFormatting>
  <conditionalFormatting sqref="C269:L269">
    <cfRule type="expression" priority="93" dxfId="0" stopIfTrue="1">
      <formula>#REF!=1</formula>
    </cfRule>
  </conditionalFormatting>
  <conditionalFormatting sqref="C270:L270">
    <cfRule type="expression" priority="92" dxfId="0" stopIfTrue="1">
      <formula>#REF!=1</formula>
    </cfRule>
  </conditionalFormatting>
  <conditionalFormatting sqref="C147:E147 G147:K147">
    <cfRule type="expression" priority="91" dxfId="0" stopIfTrue="1">
      <formula>#REF!=1</formula>
    </cfRule>
  </conditionalFormatting>
  <conditionalFormatting sqref="C148 E148 G148:K148">
    <cfRule type="expression" priority="90" dxfId="0" stopIfTrue="1">
      <formula>#REF!=1</formula>
    </cfRule>
  </conditionalFormatting>
  <conditionalFormatting sqref="C271:L271">
    <cfRule type="expression" priority="89" dxfId="0" stopIfTrue="1">
      <formula>$P271=1</formula>
    </cfRule>
  </conditionalFormatting>
  <conditionalFormatting sqref="E149:E152">
    <cfRule type="expression" priority="87" dxfId="0" stopIfTrue="1">
      <formula>#REF!=1</formula>
    </cfRule>
  </conditionalFormatting>
  <conditionalFormatting sqref="C272:L272">
    <cfRule type="expression" priority="86" dxfId="0" stopIfTrue="1">
      <formula>#REF!=1</formula>
    </cfRule>
  </conditionalFormatting>
  <conditionalFormatting sqref="C273:L273">
    <cfRule type="expression" priority="85" dxfId="0" stopIfTrue="1">
      <formula>$P273=1</formula>
    </cfRule>
  </conditionalFormatting>
  <conditionalFormatting sqref="C274:L274">
    <cfRule type="expression" priority="84" dxfId="0" stopIfTrue="1">
      <formula>$P274=1</formula>
    </cfRule>
  </conditionalFormatting>
  <conditionalFormatting sqref="C153">
    <cfRule type="expression" priority="83" dxfId="0" stopIfTrue="1">
      <formula>#REF!=1</formula>
    </cfRule>
  </conditionalFormatting>
  <conditionalFormatting sqref="E153:E155">
    <cfRule type="expression" priority="82" dxfId="0" stopIfTrue="1">
      <formula>#REF!=1</formula>
    </cfRule>
  </conditionalFormatting>
  <conditionalFormatting sqref="C275:L275">
    <cfRule type="expression" priority="81" dxfId="0" stopIfTrue="1">
      <formula>$P275=1</formula>
    </cfRule>
  </conditionalFormatting>
  <conditionalFormatting sqref="C276:L276">
    <cfRule type="expression" priority="80" dxfId="0" stopIfTrue="1">
      <formula>#REF!=1</formula>
    </cfRule>
  </conditionalFormatting>
  <conditionalFormatting sqref="C277:L277">
    <cfRule type="expression" priority="79" dxfId="0" stopIfTrue="1">
      <formula>$P277=1</formula>
    </cfRule>
  </conditionalFormatting>
  <conditionalFormatting sqref="C278:L278">
    <cfRule type="expression" priority="78" dxfId="0" stopIfTrue="1">
      <formula>$P278=1</formula>
    </cfRule>
  </conditionalFormatting>
  <conditionalFormatting sqref="C149:C152">
    <cfRule type="expression" priority="77" dxfId="0" stopIfTrue="1">
      <formula>$P149=1</formula>
    </cfRule>
  </conditionalFormatting>
  <conditionalFormatting sqref="G156:K156">
    <cfRule type="expression" priority="76" dxfId="0" stopIfTrue="1">
      <formula>#REF!=1</formula>
    </cfRule>
  </conditionalFormatting>
  <conditionalFormatting sqref="C279:L280">
    <cfRule type="expression" priority="75" dxfId="0" stopIfTrue="1">
      <formula>$P279=1</formula>
    </cfRule>
  </conditionalFormatting>
  <conditionalFormatting sqref="F281:K281">
    <cfRule type="expression" priority="74" dxfId="0" stopIfTrue="1">
      <formula>$P281=1</formula>
    </cfRule>
  </conditionalFormatting>
  <conditionalFormatting sqref="C282:L282">
    <cfRule type="expression" priority="73" dxfId="0" stopIfTrue="1">
      <formula>$P282=1</formula>
    </cfRule>
  </conditionalFormatting>
  <conditionalFormatting sqref="D148">
    <cfRule type="expression" priority="72" dxfId="0" stopIfTrue="1">
      <formula>#REF!=1</formula>
    </cfRule>
  </conditionalFormatting>
  <conditionalFormatting sqref="D121:D125">
    <cfRule type="expression" priority="71" dxfId="0" stopIfTrue="1">
      <formula>#REF!=1</formula>
    </cfRule>
  </conditionalFormatting>
  <conditionalFormatting sqref="D120">
    <cfRule type="expression" priority="70" dxfId="0" stopIfTrue="1">
      <formula>#REF!=1</formula>
    </cfRule>
  </conditionalFormatting>
  <conditionalFormatting sqref="D119">
    <cfRule type="expression" priority="69" dxfId="0" stopIfTrue="1">
      <formula>#REF!=1</formula>
    </cfRule>
  </conditionalFormatting>
  <conditionalFormatting sqref="D118">
    <cfRule type="expression" priority="68" dxfId="0" stopIfTrue="1">
      <formula>#REF!=1</formula>
    </cfRule>
  </conditionalFormatting>
  <conditionalFormatting sqref="D117">
    <cfRule type="expression" priority="67" dxfId="0" stopIfTrue="1">
      <formula>#REF!=1</formula>
    </cfRule>
  </conditionalFormatting>
  <conditionalFormatting sqref="D108">
    <cfRule type="expression" priority="66" dxfId="0" stopIfTrue="1">
      <formula>#REF!=1</formula>
    </cfRule>
  </conditionalFormatting>
  <conditionalFormatting sqref="D159">
    <cfRule type="expression" priority="65" dxfId="0" stopIfTrue="1">
      <formula>#REF!=1</formula>
    </cfRule>
  </conditionalFormatting>
  <conditionalFormatting sqref="D160 D164 D166">
    <cfRule type="expression" priority="64" dxfId="0" stopIfTrue="1">
      <formula>#REF!=1</formula>
    </cfRule>
  </conditionalFormatting>
  <conditionalFormatting sqref="D155">
    <cfRule type="expression" priority="63" dxfId="0" stopIfTrue="1">
      <formula>#REF!=1</formula>
    </cfRule>
  </conditionalFormatting>
  <conditionalFormatting sqref="D169">
    <cfRule type="expression" priority="61" dxfId="0" stopIfTrue="1">
      <formula>#REF!=1</formula>
    </cfRule>
  </conditionalFormatting>
  <conditionalFormatting sqref="F116">
    <cfRule type="expression" priority="59" dxfId="0" stopIfTrue="1">
      <formula>$P116=1</formula>
    </cfRule>
  </conditionalFormatting>
  <conditionalFormatting sqref="F115">
    <cfRule type="expression" priority="58" dxfId="0" stopIfTrue="1">
      <formula>$P115=1</formula>
    </cfRule>
  </conditionalFormatting>
  <conditionalFormatting sqref="F114">
    <cfRule type="expression" priority="57" dxfId="0" stopIfTrue="1">
      <formula>$P114=1</formula>
    </cfRule>
  </conditionalFormatting>
  <conditionalFormatting sqref="F113">
    <cfRule type="expression" priority="56" dxfId="0" stopIfTrue="1">
      <formula>$P113=1</formula>
    </cfRule>
  </conditionalFormatting>
  <conditionalFormatting sqref="F112">
    <cfRule type="expression" priority="55" dxfId="0" stopIfTrue="1">
      <formula>$P112=1</formula>
    </cfRule>
  </conditionalFormatting>
  <conditionalFormatting sqref="F111">
    <cfRule type="expression" priority="54" dxfId="0" stopIfTrue="1">
      <formula>$P111=1</formula>
    </cfRule>
  </conditionalFormatting>
  <conditionalFormatting sqref="F110">
    <cfRule type="expression" priority="53" dxfId="0" stopIfTrue="1">
      <formula>$P110=1</formula>
    </cfRule>
  </conditionalFormatting>
  <conditionalFormatting sqref="F109">
    <cfRule type="expression" priority="52" dxfId="0" stopIfTrue="1">
      <formula>$P109=1</formula>
    </cfRule>
  </conditionalFormatting>
  <conditionalFormatting sqref="F108">
    <cfRule type="expression" priority="51" dxfId="0" stopIfTrue="1">
      <formula>$P108=1</formula>
    </cfRule>
  </conditionalFormatting>
  <conditionalFormatting sqref="F107">
    <cfRule type="expression" priority="50" dxfId="0" stopIfTrue="1">
      <formula>$P107=1</formula>
    </cfRule>
  </conditionalFormatting>
  <conditionalFormatting sqref="F104">
    <cfRule type="expression" priority="49" dxfId="0" stopIfTrue="1">
      <formula>$P104=1</formula>
    </cfRule>
  </conditionalFormatting>
  <conditionalFormatting sqref="F102">
    <cfRule type="expression" priority="48" dxfId="0" stopIfTrue="1">
      <formula>$P102=1</formula>
    </cfRule>
  </conditionalFormatting>
  <conditionalFormatting sqref="F101">
    <cfRule type="expression" priority="47" dxfId="0" stopIfTrue="1">
      <formula>$P101=1</formula>
    </cfRule>
  </conditionalFormatting>
  <conditionalFormatting sqref="F96">
    <cfRule type="expression" priority="46" dxfId="0" stopIfTrue="1">
      <formula>$P96=1</formula>
    </cfRule>
  </conditionalFormatting>
  <conditionalFormatting sqref="F97">
    <cfRule type="expression" priority="45" dxfId="0" stopIfTrue="1">
      <formula>$P97=1</formula>
    </cfRule>
  </conditionalFormatting>
  <conditionalFormatting sqref="F95">
    <cfRule type="expression" priority="44" dxfId="0" stopIfTrue="1">
      <formula>$P95=1</formula>
    </cfRule>
  </conditionalFormatting>
  <conditionalFormatting sqref="F94">
    <cfRule type="expression" priority="43" dxfId="0" stopIfTrue="1">
      <formula>$P94=1</formula>
    </cfRule>
  </conditionalFormatting>
  <conditionalFormatting sqref="F93">
    <cfRule type="expression" priority="42" dxfId="0" stopIfTrue="1">
      <formula>$P93=1</formula>
    </cfRule>
  </conditionalFormatting>
  <conditionalFormatting sqref="F92">
    <cfRule type="expression" priority="41" dxfId="0" stopIfTrue="1">
      <formula>$P92=1</formula>
    </cfRule>
  </conditionalFormatting>
  <conditionalFormatting sqref="F131">
    <cfRule type="expression" priority="40" dxfId="0" stopIfTrue="1">
      <formula>$P131=1</formula>
    </cfRule>
  </conditionalFormatting>
  <conditionalFormatting sqref="F132">
    <cfRule type="expression" priority="39" dxfId="0" stopIfTrue="1">
      <formula>$P132=1</formula>
    </cfRule>
  </conditionalFormatting>
  <conditionalFormatting sqref="F145">
    <cfRule type="expression" priority="38" dxfId="0" stopIfTrue="1">
      <formula>$P145=1</formula>
    </cfRule>
  </conditionalFormatting>
  <conditionalFormatting sqref="F146">
    <cfRule type="expression" priority="37" dxfId="0" stopIfTrue="1">
      <formula>$P146=1</formula>
    </cfRule>
  </conditionalFormatting>
  <conditionalFormatting sqref="F147">
    <cfRule type="expression" priority="36" dxfId="0" stopIfTrue="1">
      <formula>$P147=1</formula>
    </cfRule>
  </conditionalFormatting>
  <conditionalFormatting sqref="F148">
    <cfRule type="expression" priority="35" dxfId="0" stopIfTrue="1">
      <formula>$P148=1</formula>
    </cfRule>
  </conditionalFormatting>
  <conditionalFormatting sqref="F149:F152">
    <cfRule type="expression" priority="34" dxfId="0" stopIfTrue="1">
      <formula>$P149=1</formula>
    </cfRule>
  </conditionalFormatting>
  <conditionalFormatting sqref="F154">
    <cfRule type="expression" priority="33" dxfId="0" stopIfTrue="1">
      <formula>$P154=1</formula>
    </cfRule>
  </conditionalFormatting>
  <conditionalFormatting sqref="F155">
    <cfRule type="expression" priority="32" dxfId="0" stopIfTrue="1">
      <formula>$P155=1</formula>
    </cfRule>
  </conditionalFormatting>
  <conditionalFormatting sqref="F156">
    <cfRule type="expression" priority="31" dxfId="0" stopIfTrue="1">
      <formula>$P156=1</formula>
    </cfRule>
  </conditionalFormatting>
  <conditionalFormatting sqref="F161">
    <cfRule type="expression" priority="30" dxfId="0" stopIfTrue="1">
      <formula>$P161=1</formula>
    </cfRule>
  </conditionalFormatting>
  <conditionalFormatting sqref="Y121">
    <cfRule type="expression" priority="29" dxfId="0" stopIfTrue="1">
      <formula>$J121=1</formula>
    </cfRule>
  </conditionalFormatting>
  <conditionalFormatting sqref="W123">
    <cfRule type="expression" priority="28" dxfId="0" stopIfTrue="1">
      <formula>$J123=1</formula>
    </cfRule>
  </conditionalFormatting>
  <conditionalFormatting sqref="E123:E125">
    <cfRule type="expression" priority="27" dxfId="0" stopIfTrue="1">
      <formula>$P123=1</formula>
    </cfRule>
  </conditionalFormatting>
  <conditionalFormatting sqref="G172:K173">
    <cfRule type="expression" priority="25" dxfId="0" stopIfTrue="1">
      <formula>$P172=1</formula>
    </cfRule>
  </conditionalFormatting>
  <conditionalFormatting sqref="E176">
    <cfRule type="expression" priority="21" dxfId="0" stopIfTrue="1">
      <formula>#REF!=1</formula>
    </cfRule>
  </conditionalFormatting>
  <conditionalFormatting sqref="C174:E174 G174:K174">
    <cfRule type="expression" priority="24" dxfId="0" stopIfTrue="1">
      <formula>#REF!=1</formula>
    </cfRule>
  </conditionalFormatting>
  <conditionalFormatting sqref="C175 E175 G175:K175">
    <cfRule type="expression" priority="23" dxfId="0" stopIfTrue="1">
      <formula>#REF!=1</formula>
    </cfRule>
  </conditionalFormatting>
  <conditionalFormatting sqref="D176">
    <cfRule type="expression" priority="22" dxfId="0" stopIfTrue="1">
      <formula>$P176=1</formula>
    </cfRule>
  </conditionalFormatting>
  <conditionalFormatting sqref="D175">
    <cfRule type="expression" priority="18" dxfId="0" stopIfTrue="1">
      <formula>#REF!=1</formula>
    </cfRule>
  </conditionalFormatting>
  <conditionalFormatting sqref="E177:E188">
    <cfRule type="expression" priority="20" dxfId="0" stopIfTrue="1">
      <formula>#REF!=1</formula>
    </cfRule>
  </conditionalFormatting>
  <conditionalFormatting sqref="C176">
    <cfRule type="expression" priority="19" dxfId="0" stopIfTrue="1">
      <formula>$P176=1</formula>
    </cfRule>
  </conditionalFormatting>
  <conditionalFormatting sqref="D177:D182">
    <cfRule type="expression" priority="17" dxfId="0" stopIfTrue="1">
      <formula>#REF!=1</formula>
    </cfRule>
  </conditionalFormatting>
  <conditionalFormatting sqref="F172">
    <cfRule type="expression" priority="16" dxfId="0" stopIfTrue="1">
      <formula>$P172=1</formula>
    </cfRule>
  </conditionalFormatting>
  <conditionalFormatting sqref="F175">
    <cfRule type="expression" priority="15" dxfId="0" stopIfTrue="1">
      <formula>$P175=1</formula>
    </cfRule>
  </conditionalFormatting>
  <conditionalFormatting sqref="F176">
    <cfRule type="expression" priority="14" dxfId="0" stopIfTrue="1">
      <formula>$P176=1</formula>
    </cfRule>
  </conditionalFormatting>
  <conditionalFormatting sqref="D183">
    <cfRule type="expression" priority="9" dxfId="0" stopIfTrue="1">
      <formula>$P183=1</formula>
    </cfRule>
  </conditionalFormatting>
  <conditionalFormatting sqref="D184:D188">
    <cfRule type="expression" priority="8" dxfId="0" stopIfTrue="1">
      <formula>#REF!=1</formula>
    </cfRule>
  </conditionalFormatting>
  <conditionalFormatting sqref="D149">
    <cfRule type="expression" priority="7" dxfId="0" stopIfTrue="1">
      <formula>#REF!=1</formula>
    </cfRule>
  </conditionalFormatting>
  <conditionalFormatting sqref="D150">
    <cfRule type="expression" priority="6" dxfId="0" stopIfTrue="1">
      <formula>#REF!=1</formula>
    </cfRule>
  </conditionalFormatting>
  <conditionalFormatting sqref="D151">
    <cfRule type="expression" priority="5" dxfId="0" stopIfTrue="1">
      <formula>#REF!=1</formula>
    </cfRule>
  </conditionalFormatting>
  <conditionalFormatting sqref="D152">
    <cfRule type="expression" priority="4" dxfId="0" stopIfTrue="1">
      <formula>#REF!=1</formula>
    </cfRule>
  </conditionalFormatting>
  <conditionalFormatting sqref="D154">
    <cfRule type="expression" priority="3" dxfId="0" stopIfTrue="1">
      <formula>#REF!=1</formula>
    </cfRule>
  </conditionalFormatting>
  <conditionalFormatting sqref="D153">
    <cfRule type="expression" priority="2" dxfId="0" stopIfTrue="1">
      <formula>#REF!=1</formula>
    </cfRule>
  </conditionalFormatting>
  <conditionalFormatting sqref="F134">
    <cfRule type="expression" priority="1" dxfId="0" stopIfTrue="1">
      <formula>$P134=1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6"/>
  <sheetViews>
    <sheetView view="pageBreakPreview" zoomScale="85" zoomScaleNormal="85" zoomScaleSheetLayoutView="85" zoomScalePageLayoutView="0" workbookViewId="0" topLeftCell="A1">
      <selection activeCell="B9" sqref="B9:K23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ht="13.5" thickBot="1"/>
    <row r="9" spans="2:11" ht="12.75">
      <c r="B9" s="395" t="s">
        <v>84</v>
      </c>
      <c r="C9" s="396"/>
      <c r="D9" s="396"/>
      <c r="E9" s="396"/>
      <c r="F9" s="396"/>
      <c r="G9" s="396"/>
      <c r="H9" s="396"/>
      <c r="I9" s="396"/>
      <c r="J9" s="396"/>
      <c r="K9" s="397"/>
    </row>
    <row r="10" spans="2:11" ht="12.75">
      <c r="B10" s="299"/>
      <c r="C10" s="300"/>
      <c r="D10" s="300"/>
      <c r="E10" s="300"/>
      <c r="F10" s="300"/>
      <c r="G10" s="300"/>
      <c r="H10" s="300"/>
      <c r="I10" s="300"/>
      <c r="J10" s="300"/>
      <c r="K10" s="301"/>
    </row>
    <row r="11" spans="2:11" ht="18">
      <c r="B11" s="302" t="s">
        <v>20</v>
      </c>
      <c r="C11" s="303" t="s">
        <v>18</v>
      </c>
      <c r="D11" s="303" t="s">
        <v>0</v>
      </c>
      <c r="E11" s="303" t="s">
        <v>21</v>
      </c>
      <c r="F11" s="303" t="s">
        <v>43</v>
      </c>
      <c r="G11" s="303" t="s">
        <v>53</v>
      </c>
      <c r="H11" s="303" t="s">
        <v>54</v>
      </c>
      <c r="I11" s="303" t="s">
        <v>55</v>
      </c>
      <c r="J11" s="303" t="s">
        <v>56</v>
      </c>
      <c r="K11" s="304" t="s">
        <v>6</v>
      </c>
    </row>
    <row r="12" spans="2:11" ht="12.75">
      <c r="B12" s="307"/>
      <c r="C12" s="306" t="s">
        <v>17</v>
      </c>
      <c r="D12" s="307" t="s">
        <v>57</v>
      </c>
      <c r="E12" s="306" t="s">
        <v>22</v>
      </c>
      <c r="F12" s="306">
        <v>73.36</v>
      </c>
      <c r="G12" s="308">
        <f>4.35*0.25</f>
        <v>1.0875</v>
      </c>
      <c r="H12" s="309">
        <f>4.35*0.75</f>
        <v>3.2624999999999997</v>
      </c>
      <c r="I12" s="309">
        <f>F12*G12</f>
        <v>79.779</v>
      </c>
      <c r="J12" s="309">
        <f>F12*H12</f>
        <v>239.337</v>
      </c>
      <c r="K12" s="310">
        <f>I12+J12</f>
        <v>319.116</v>
      </c>
    </row>
    <row r="13" spans="2:11" ht="36.75" customHeight="1">
      <c r="B13" s="307"/>
      <c r="C13" s="367" t="s">
        <v>17</v>
      </c>
      <c r="D13" s="307" t="s">
        <v>58</v>
      </c>
      <c r="E13" s="306" t="s">
        <v>22</v>
      </c>
      <c r="F13" s="311">
        <v>32.26</v>
      </c>
      <c r="G13" s="308">
        <f>4.35*0.25</f>
        <v>1.0875</v>
      </c>
      <c r="H13" s="309">
        <f>4.35*0.75</f>
        <v>3.2624999999999997</v>
      </c>
      <c r="I13" s="309">
        <f>F13*G13</f>
        <v>35.08275</v>
      </c>
      <c r="J13" s="309">
        <f>F13*H13</f>
        <v>105.24824999999998</v>
      </c>
      <c r="K13" s="310">
        <f>I13+J13</f>
        <v>140.331</v>
      </c>
    </row>
    <row r="14" spans="2:11" ht="47.25" customHeight="1">
      <c r="B14" s="307" t="s">
        <v>36</v>
      </c>
      <c r="C14" s="367" t="s">
        <v>17</v>
      </c>
      <c r="D14" s="307" t="s">
        <v>37</v>
      </c>
      <c r="E14" s="312" t="s">
        <v>25</v>
      </c>
      <c r="F14" s="312">
        <v>6</v>
      </c>
      <c r="G14" s="308">
        <f>15.69*0.25</f>
        <v>3.9225</v>
      </c>
      <c r="H14" s="309">
        <f>15.69*0.75</f>
        <v>11.7675</v>
      </c>
      <c r="I14" s="309">
        <f>F14*G14</f>
        <v>23.535</v>
      </c>
      <c r="J14" s="309">
        <f>F14*H14</f>
        <v>70.605</v>
      </c>
      <c r="K14" s="310">
        <f>I14+J14</f>
        <v>94.14</v>
      </c>
    </row>
    <row r="15" spans="2:11" ht="18">
      <c r="B15" s="307" t="s">
        <v>39</v>
      </c>
      <c r="C15" s="367" t="s">
        <v>17</v>
      </c>
      <c r="D15" s="307" t="s">
        <v>40</v>
      </c>
      <c r="E15" s="312" t="s">
        <v>19</v>
      </c>
      <c r="F15" s="312">
        <f>(13.1*(2*(0.05+0.15+0.05)))+(9.69*(2*(0.04+0.14+0.04)))</f>
        <v>10.813600000000001</v>
      </c>
      <c r="G15" s="308">
        <f>16.95*0.25</f>
        <v>4.2375</v>
      </c>
      <c r="H15" s="309">
        <f>16.95*0.75</f>
        <v>12.712499999999999</v>
      </c>
      <c r="I15" s="309">
        <f>F15*G15</f>
        <v>45.822630000000004</v>
      </c>
      <c r="J15" s="309">
        <f>F15*H15</f>
        <v>137.46789</v>
      </c>
      <c r="K15" s="310">
        <f>I15+J15</f>
        <v>183.29052000000001</v>
      </c>
    </row>
    <row r="16" spans="2:11" ht="18">
      <c r="B16" s="307" t="s">
        <v>41</v>
      </c>
      <c r="C16" s="306" t="s">
        <v>17</v>
      </c>
      <c r="D16" s="307" t="s">
        <v>42</v>
      </c>
      <c r="E16" s="306" t="s">
        <v>19</v>
      </c>
      <c r="F16" s="306">
        <f>(13.1*(2*(0.05+0.15+0.05)))+(9.69*(2*(0.04+0.14+0.04)))</f>
        <v>10.813600000000001</v>
      </c>
      <c r="G16" s="308">
        <f>22.68*0.25</f>
        <v>5.67</v>
      </c>
      <c r="H16" s="309">
        <f>22.68*0.75</f>
        <v>17.009999999999998</v>
      </c>
      <c r="I16" s="309">
        <f>F16*G16</f>
        <v>61.313112000000004</v>
      </c>
      <c r="J16" s="309">
        <f>F16*H16</f>
        <v>183.939336</v>
      </c>
      <c r="K16" s="310">
        <f>I16+J16</f>
        <v>245.25244800000002</v>
      </c>
    </row>
    <row r="17" spans="2:11" ht="12.75">
      <c r="B17" s="313"/>
      <c r="C17" s="314"/>
      <c r="D17" s="315" t="s">
        <v>6</v>
      </c>
      <c r="E17" s="316"/>
      <c r="F17" s="316"/>
      <c r="G17" s="309"/>
      <c r="H17" s="309"/>
      <c r="I17" s="309"/>
      <c r="J17" s="309"/>
      <c r="K17" s="310">
        <f>SUM(K12:K16)</f>
        <v>982.129968</v>
      </c>
    </row>
    <row r="18" spans="2:11" ht="12.75">
      <c r="B18" s="317"/>
      <c r="C18" s="318"/>
      <c r="D18" s="318"/>
      <c r="E18" s="318"/>
      <c r="F18" s="318"/>
      <c r="G18" s="319"/>
      <c r="H18" s="319"/>
      <c r="I18" s="319"/>
      <c r="J18" s="319"/>
      <c r="K18" s="320"/>
    </row>
    <row r="19" spans="2:11" ht="12.75">
      <c r="B19" s="317"/>
      <c r="C19" s="318"/>
      <c r="D19" s="318" t="str">
        <f>'COMP.6'!D19</f>
        <v>Augusto Pestana, 22 de janeiro de 2018.</v>
      </c>
      <c r="E19" s="318"/>
      <c r="F19" s="318"/>
      <c r="G19" s="319"/>
      <c r="H19" s="319"/>
      <c r="I19" s="321" t="s">
        <v>44</v>
      </c>
      <c r="J19" s="321"/>
      <c r="K19" s="322">
        <f>SUM(I12:I16)</f>
        <v>245.532492</v>
      </c>
    </row>
    <row r="20" spans="2:11" ht="13.5" thickBot="1">
      <c r="B20" s="323"/>
      <c r="C20" s="324"/>
      <c r="D20" s="325"/>
      <c r="E20" s="325"/>
      <c r="F20" s="325"/>
      <c r="G20" s="326"/>
      <c r="H20" s="326"/>
      <c r="I20" s="327" t="s">
        <v>26</v>
      </c>
      <c r="J20" s="327"/>
      <c r="K20" s="328">
        <f>SUM(J12:J16)</f>
        <v>736.597476</v>
      </c>
    </row>
    <row r="21" spans="2:11" ht="12.75">
      <c r="B21" s="298"/>
      <c r="C21" s="298"/>
      <c r="D21" s="329"/>
      <c r="E21" s="329"/>
      <c r="F21" s="329"/>
      <c r="G21" s="330"/>
      <c r="H21" s="330"/>
      <c r="I21" s="331" t="s">
        <v>6</v>
      </c>
      <c r="J21" s="331"/>
      <c r="K21" s="331">
        <f>SUM(K19:K20)</f>
        <v>982.129968</v>
      </c>
    </row>
    <row r="22" spans="2:11" ht="12.75">
      <c r="B22" s="298"/>
      <c r="C22" s="298"/>
      <c r="D22" s="298"/>
      <c r="E22" s="298"/>
      <c r="F22" s="298"/>
      <c r="G22" s="298"/>
      <c r="H22" s="298"/>
      <c r="I22" s="298"/>
      <c r="J22" s="298"/>
      <c r="K22" s="298"/>
    </row>
    <row r="23" spans="2:11" ht="12.75">
      <c r="B23" s="298"/>
      <c r="C23" s="298"/>
      <c r="D23" s="298"/>
      <c r="E23" s="298"/>
      <c r="F23" s="298"/>
      <c r="G23" s="298"/>
      <c r="H23" s="298"/>
      <c r="I23" s="298"/>
      <c r="J23" s="298"/>
      <c r="K23" s="298"/>
    </row>
    <row r="25" spans="7:8" ht="12.75" hidden="1">
      <c r="G25" t="s">
        <v>23</v>
      </c>
      <c r="H25" t="s">
        <v>24</v>
      </c>
    </row>
    <row r="26" spans="7:8" ht="12.75" hidden="1">
      <c r="G26">
        <v>27</v>
      </c>
      <c r="H26">
        <v>25</v>
      </c>
    </row>
  </sheetData>
  <sheetProtection/>
  <mergeCells count="1">
    <mergeCell ref="B9:K9"/>
  </mergeCells>
  <conditionalFormatting sqref="C16 E12:G12 E16:F16">
    <cfRule type="expression" priority="12" dxfId="0" stopIfTrue="1">
      <formula>$K12=1</formula>
    </cfRule>
  </conditionalFormatting>
  <conditionalFormatting sqref="C12">
    <cfRule type="expression" priority="11" dxfId="0" stopIfTrue="1">
      <formula>$K12=1</formula>
    </cfRule>
  </conditionalFormatting>
  <conditionalFormatting sqref="G13">
    <cfRule type="expression" priority="5" dxfId="0" stopIfTrue="1">
      <formula>$K13=1</formula>
    </cfRule>
  </conditionalFormatting>
  <conditionalFormatting sqref="G14">
    <cfRule type="expression" priority="4" dxfId="0" stopIfTrue="1">
      <formula>$K14=1</formula>
    </cfRule>
  </conditionalFormatting>
  <conditionalFormatting sqref="G15">
    <cfRule type="expression" priority="3" dxfId="0" stopIfTrue="1">
      <formula>$K15=1</formula>
    </cfRule>
  </conditionalFormatting>
  <conditionalFormatting sqref="G16">
    <cfRule type="expression" priority="2" dxfId="0" stopIfTrue="1">
      <formula>$K16=1</formula>
    </cfRule>
  </conditionalFormatting>
  <conditionalFormatting sqref="E13">
    <cfRule type="expression" priority="1" dxfId="0" stopIfTrue="1">
      <formula>$K13=1</formula>
    </cfRule>
  </conditionalFormatting>
  <conditionalFormatting sqref="C13:C15">
    <cfRule type="expression" priority="276" dxfId="0" stopIfTrue="1">
      <formula>'COMP.8'!#REF!=1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6"/>
  <sheetViews>
    <sheetView view="pageBreakPreview" zoomScale="85" zoomScaleNormal="85" zoomScaleSheetLayoutView="85" zoomScalePageLayoutView="0" workbookViewId="0" topLeftCell="A1">
      <selection activeCell="B8" sqref="B8:K23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83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1" ht="12.75">
      <c r="B12" s="339"/>
      <c r="C12" s="340" t="s">
        <v>17</v>
      </c>
      <c r="D12" s="339" t="s">
        <v>57</v>
      </c>
      <c r="E12" s="340" t="s">
        <v>22</v>
      </c>
      <c r="F12" s="340">
        <v>76.49</v>
      </c>
      <c r="G12" s="341">
        <f>4.35*0.25</f>
        <v>1.0875</v>
      </c>
      <c r="H12" s="342">
        <f>4.35*0.75</f>
        <v>3.2624999999999997</v>
      </c>
      <c r="I12" s="342">
        <f>F12*G12</f>
        <v>83.18287499999998</v>
      </c>
      <c r="J12" s="342">
        <f>F12*H12</f>
        <v>249.54862499999996</v>
      </c>
      <c r="K12" s="343">
        <f>I12+J12</f>
        <v>332.7314999999999</v>
      </c>
    </row>
    <row r="13" spans="2:11" ht="36.75" customHeight="1">
      <c r="B13" s="339"/>
      <c r="C13" s="344" t="s">
        <v>17</v>
      </c>
      <c r="D13" s="339" t="s">
        <v>58</v>
      </c>
      <c r="E13" s="340" t="s">
        <v>22</v>
      </c>
      <c r="F13" s="345">
        <v>32.93</v>
      </c>
      <c r="G13" s="341">
        <f>4.35*0.25</f>
        <v>1.0875</v>
      </c>
      <c r="H13" s="342">
        <f>4.35*0.75</f>
        <v>3.2624999999999997</v>
      </c>
      <c r="I13" s="342">
        <f>F13*G13</f>
        <v>35.811375</v>
      </c>
      <c r="J13" s="342">
        <f>F13*H13</f>
        <v>107.434125</v>
      </c>
      <c r="K13" s="343">
        <f>I13+J13</f>
        <v>143.2455</v>
      </c>
    </row>
    <row r="14" spans="2:11" ht="47.25" customHeight="1">
      <c r="B14" s="339" t="s">
        <v>36</v>
      </c>
      <c r="C14" s="344" t="s">
        <v>17</v>
      </c>
      <c r="D14" s="339" t="s">
        <v>37</v>
      </c>
      <c r="E14" s="365" t="s">
        <v>25</v>
      </c>
      <c r="F14" s="365">
        <v>6</v>
      </c>
      <c r="G14" s="341">
        <f>15.69*0.25</f>
        <v>3.9225</v>
      </c>
      <c r="H14" s="342">
        <f>15.69*0.75</f>
        <v>11.7675</v>
      </c>
      <c r="I14" s="342">
        <f>F14*G14</f>
        <v>23.535</v>
      </c>
      <c r="J14" s="342">
        <f>F14*H14</f>
        <v>70.605</v>
      </c>
      <c r="K14" s="343">
        <f>I14+J14</f>
        <v>94.14</v>
      </c>
    </row>
    <row r="15" spans="2:11" ht="22.5">
      <c r="B15" s="339" t="s">
        <v>39</v>
      </c>
      <c r="C15" s="344" t="s">
        <v>17</v>
      </c>
      <c r="D15" s="339" t="s">
        <v>40</v>
      </c>
      <c r="E15" s="365" t="s">
        <v>19</v>
      </c>
      <c r="F15" s="365">
        <f>(13.66*(2*(0.05+0.15+0.05)))+(9.89*(2*(0.04+0.14+0.04)))</f>
        <v>11.181600000000001</v>
      </c>
      <c r="G15" s="341">
        <f>16.95*0.25</f>
        <v>4.2375</v>
      </c>
      <c r="H15" s="342">
        <f>16.95*0.75</f>
        <v>12.712499999999999</v>
      </c>
      <c r="I15" s="342">
        <f>F15*G15</f>
        <v>47.38203</v>
      </c>
      <c r="J15" s="342">
        <f>F15*H15</f>
        <v>142.14609</v>
      </c>
      <c r="K15" s="343">
        <f>I15+J15</f>
        <v>189.52812</v>
      </c>
    </row>
    <row r="16" spans="2:11" ht="22.5">
      <c r="B16" s="339" t="s">
        <v>41</v>
      </c>
      <c r="C16" s="340" t="s">
        <v>17</v>
      </c>
      <c r="D16" s="339" t="s">
        <v>42</v>
      </c>
      <c r="E16" s="340" t="s">
        <v>19</v>
      </c>
      <c r="F16" s="340">
        <f>(13.66*(2*(0.05+0.15+0.05)))+(9.89*(2*(0.04+0.14+0.04)))</f>
        <v>11.181600000000001</v>
      </c>
      <c r="G16" s="341">
        <f>22.68*0.25</f>
        <v>5.67</v>
      </c>
      <c r="H16" s="342">
        <f>22.68*0.75</f>
        <v>17.009999999999998</v>
      </c>
      <c r="I16" s="342">
        <f>F16*G16</f>
        <v>63.39967200000001</v>
      </c>
      <c r="J16" s="342">
        <f>F16*H16</f>
        <v>190.199016</v>
      </c>
      <c r="K16" s="343">
        <f>I16+J16</f>
        <v>253.598688</v>
      </c>
    </row>
    <row r="17" spans="2:11" ht="12.75">
      <c r="B17" s="346"/>
      <c r="C17" s="347"/>
      <c r="D17" s="348" t="s">
        <v>6</v>
      </c>
      <c r="E17" s="349"/>
      <c r="F17" s="349"/>
      <c r="G17" s="342"/>
      <c r="H17" s="342"/>
      <c r="I17" s="342"/>
      <c r="J17" s="342"/>
      <c r="K17" s="343">
        <f>SUM(K12:K16)</f>
        <v>1013.243808</v>
      </c>
    </row>
    <row r="18" spans="2:11" ht="12.75">
      <c r="B18" s="350"/>
      <c r="C18" s="351"/>
      <c r="D18" s="351"/>
      <c r="E18" s="351"/>
      <c r="F18" s="351"/>
      <c r="G18" s="352"/>
      <c r="H18" s="352"/>
      <c r="I18" s="352"/>
      <c r="J18" s="352"/>
      <c r="K18" s="353"/>
    </row>
    <row r="19" spans="2:11" ht="12.75">
      <c r="B19" s="350"/>
      <c r="C19" s="351"/>
      <c r="D19" s="351" t="str">
        <f>'COMP.6'!D19</f>
        <v>Augusto Pestana, 22 de janeiro de 2018.</v>
      </c>
      <c r="E19" s="351"/>
      <c r="F19" s="351"/>
      <c r="G19" s="352"/>
      <c r="H19" s="352"/>
      <c r="I19" s="354" t="s">
        <v>44</v>
      </c>
      <c r="J19" s="354"/>
      <c r="K19" s="355">
        <f>SUM(I12:I16)</f>
        <v>253.310952</v>
      </c>
    </row>
    <row r="20" spans="2:11" ht="13.5" thickBot="1">
      <c r="B20" s="356"/>
      <c r="C20" s="357"/>
      <c r="D20" s="358"/>
      <c r="E20" s="358"/>
      <c r="F20" s="358"/>
      <c r="G20" s="359"/>
      <c r="H20" s="359"/>
      <c r="I20" s="360" t="s">
        <v>26</v>
      </c>
      <c r="J20" s="360"/>
      <c r="K20" s="361">
        <f>SUM(J12:J16)</f>
        <v>759.932856</v>
      </c>
    </row>
    <row r="21" spans="2:11" ht="12.75">
      <c r="B21" s="332"/>
      <c r="C21" s="332"/>
      <c r="D21" s="362"/>
      <c r="E21" s="362"/>
      <c r="F21" s="362"/>
      <c r="G21" s="363"/>
      <c r="H21" s="363"/>
      <c r="I21" s="364" t="s">
        <v>6</v>
      </c>
      <c r="J21" s="364"/>
      <c r="K21" s="364">
        <f>SUM(K19:K20)</f>
        <v>1013.243808</v>
      </c>
    </row>
    <row r="22" spans="2:11" ht="12.75">
      <c r="B22" s="332"/>
      <c r="C22" s="332"/>
      <c r="D22" s="332"/>
      <c r="E22" s="332"/>
      <c r="F22" s="332"/>
      <c r="G22" s="332"/>
      <c r="H22" s="332"/>
      <c r="I22" s="332"/>
      <c r="J22" s="332"/>
      <c r="K22" s="332"/>
    </row>
    <row r="23" spans="2:11" ht="12.75">
      <c r="B23" s="332"/>
      <c r="C23" s="332"/>
      <c r="D23" s="332"/>
      <c r="E23" s="332"/>
      <c r="F23" s="332"/>
      <c r="G23" s="332"/>
      <c r="H23" s="332"/>
      <c r="I23" s="332"/>
      <c r="J23" s="332"/>
      <c r="K23" s="332"/>
    </row>
    <row r="25" spans="7:8" ht="12.75" hidden="1">
      <c r="G25" t="s">
        <v>23</v>
      </c>
      <c r="H25" t="s">
        <v>24</v>
      </c>
    </row>
    <row r="26" spans="7:8" ht="12.75" hidden="1">
      <c r="G26">
        <v>27</v>
      </c>
      <c r="H26">
        <v>25</v>
      </c>
    </row>
  </sheetData>
  <sheetProtection/>
  <mergeCells count="1">
    <mergeCell ref="B9:K9"/>
  </mergeCells>
  <conditionalFormatting sqref="C16 E12:G12 E16:F16">
    <cfRule type="expression" priority="7" dxfId="0" stopIfTrue="1">
      <formula>$K12=1</formula>
    </cfRule>
  </conditionalFormatting>
  <conditionalFormatting sqref="C12">
    <cfRule type="expression" priority="6" dxfId="0" stopIfTrue="1">
      <formula>$K12=1</formula>
    </cfRule>
  </conditionalFormatting>
  <conditionalFormatting sqref="G13">
    <cfRule type="expression" priority="5" dxfId="0" stopIfTrue="1">
      <formula>$K13=1</formula>
    </cfRule>
  </conditionalFormatting>
  <conditionalFormatting sqref="G14">
    <cfRule type="expression" priority="4" dxfId="0" stopIfTrue="1">
      <formula>$K14=1</formula>
    </cfRule>
  </conditionalFormatting>
  <conditionalFormatting sqref="G15">
    <cfRule type="expression" priority="3" dxfId="0" stopIfTrue="1">
      <formula>$K15=1</formula>
    </cfRule>
  </conditionalFormatting>
  <conditionalFormatting sqref="G16">
    <cfRule type="expression" priority="2" dxfId="0" stopIfTrue="1">
      <formula>$K16=1</formula>
    </cfRule>
  </conditionalFormatting>
  <conditionalFormatting sqref="E13">
    <cfRule type="expression" priority="1" dxfId="0" stopIfTrue="1">
      <formula>$K13=1</formula>
    </cfRule>
  </conditionalFormatting>
  <conditionalFormatting sqref="C13:C15">
    <cfRule type="expression" priority="8" dxfId="0" stopIfTrue="1">
      <formula>'COMP.9'!#REF!=1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6"/>
  <sheetViews>
    <sheetView view="pageBreakPreview" zoomScale="85" zoomScaleNormal="85" zoomScaleSheetLayoutView="85" zoomScalePageLayoutView="0" workbookViewId="0" topLeftCell="A1">
      <selection activeCell="B9" sqref="B9:K23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82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1" ht="12.75">
      <c r="B12" s="339"/>
      <c r="C12" s="340" t="s">
        <v>17</v>
      </c>
      <c r="D12" s="339" t="s">
        <v>57</v>
      </c>
      <c r="E12" s="340" t="s">
        <v>22</v>
      </c>
      <c r="F12" s="340">
        <v>79.63</v>
      </c>
      <c r="G12" s="341">
        <f>4.35*0.25</f>
        <v>1.0875</v>
      </c>
      <c r="H12" s="342">
        <f>4.35*0.75</f>
        <v>3.2624999999999997</v>
      </c>
      <c r="I12" s="342">
        <f>F12*G12</f>
        <v>86.597625</v>
      </c>
      <c r="J12" s="342">
        <f>F12*H12</f>
        <v>259.792875</v>
      </c>
      <c r="K12" s="343">
        <f>I12+J12</f>
        <v>346.3905</v>
      </c>
    </row>
    <row r="13" spans="2:11" ht="36.75" customHeight="1">
      <c r="B13" s="339"/>
      <c r="C13" s="344" t="s">
        <v>17</v>
      </c>
      <c r="D13" s="339" t="s">
        <v>58</v>
      </c>
      <c r="E13" s="340" t="s">
        <v>22</v>
      </c>
      <c r="F13" s="345">
        <v>35.73</v>
      </c>
      <c r="G13" s="341">
        <f>4.35*0.25</f>
        <v>1.0875</v>
      </c>
      <c r="H13" s="342">
        <f>4.35*0.75</f>
        <v>3.2624999999999997</v>
      </c>
      <c r="I13" s="342">
        <f>F13*G13</f>
        <v>38.85637499999999</v>
      </c>
      <c r="J13" s="342">
        <f>F13*H13</f>
        <v>116.56912499999999</v>
      </c>
      <c r="K13" s="343">
        <f>I13+J13</f>
        <v>155.42549999999997</v>
      </c>
    </row>
    <row r="14" spans="2:11" ht="47.25" customHeight="1">
      <c r="B14" s="339" t="s">
        <v>36</v>
      </c>
      <c r="C14" s="344" t="s">
        <v>17</v>
      </c>
      <c r="D14" s="339" t="s">
        <v>37</v>
      </c>
      <c r="E14" s="365" t="s">
        <v>25</v>
      </c>
      <c r="F14" s="365">
        <v>6</v>
      </c>
      <c r="G14" s="341">
        <f>15.69*0.25</f>
        <v>3.9225</v>
      </c>
      <c r="H14" s="342">
        <f>15.69*0.75</f>
        <v>11.7675</v>
      </c>
      <c r="I14" s="342">
        <f>F14*G14</f>
        <v>23.535</v>
      </c>
      <c r="J14" s="342">
        <f>F14*H14</f>
        <v>70.605</v>
      </c>
      <c r="K14" s="343">
        <f>I14+J14</f>
        <v>94.14</v>
      </c>
    </row>
    <row r="15" spans="2:11" ht="22.5">
      <c r="B15" s="339" t="s">
        <v>39</v>
      </c>
      <c r="C15" s="344" t="s">
        <v>17</v>
      </c>
      <c r="D15" s="339" t="s">
        <v>40</v>
      </c>
      <c r="E15" s="365" t="s">
        <v>19</v>
      </c>
      <c r="F15" s="365">
        <f>(13.66*(2*(0.05+0.15+0.05)))+(10.73*(2*(0.04+0.14+0.04)))</f>
        <v>11.551200000000001</v>
      </c>
      <c r="G15" s="341">
        <f>16.95*0.25</f>
        <v>4.2375</v>
      </c>
      <c r="H15" s="342">
        <f>16.95*0.75</f>
        <v>12.712499999999999</v>
      </c>
      <c r="I15" s="342">
        <f>F15*G15</f>
        <v>48.94821</v>
      </c>
      <c r="J15" s="342">
        <f>F15*H15</f>
        <v>146.84463</v>
      </c>
      <c r="K15" s="343">
        <f>I15+J15</f>
        <v>195.79284</v>
      </c>
    </row>
    <row r="16" spans="2:11" ht="22.5">
      <c r="B16" s="339" t="s">
        <v>41</v>
      </c>
      <c r="C16" s="340" t="s">
        <v>17</v>
      </c>
      <c r="D16" s="339" t="s">
        <v>42</v>
      </c>
      <c r="E16" s="340" t="s">
        <v>19</v>
      </c>
      <c r="F16" s="340">
        <f>(13.66*(2*(0.05+0.15+0.05)))+(9.89*(2*(0.04+0.14+0.04)))</f>
        <v>11.181600000000001</v>
      </c>
      <c r="G16" s="341">
        <f>22.68*0.25</f>
        <v>5.67</v>
      </c>
      <c r="H16" s="342">
        <f>22.68*0.75</f>
        <v>17.009999999999998</v>
      </c>
      <c r="I16" s="342">
        <f>F16*G16</f>
        <v>63.39967200000001</v>
      </c>
      <c r="J16" s="342">
        <f>F16*H16</f>
        <v>190.199016</v>
      </c>
      <c r="K16" s="343">
        <f>I16+J16</f>
        <v>253.598688</v>
      </c>
    </row>
    <row r="17" spans="2:11" ht="12.75">
      <c r="B17" s="346"/>
      <c r="C17" s="347"/>
      <c r="D17" s="348" t="s">
        <v>6</v>
      </c>
      <c r="E17" s="349"/>
      <c r="F17" s="349"/>
      <c r="G17" s="342"/>
      <c r="H17" s="342"/>
      <c r="I17" s="342"/>
      <c r="J17" s="342"/>
      <c r="K17" s="343">
        <f>SUM(K12:K16)</f>
        <v>1045.347528</v>
      </c>
    </row>
    <row r="18" spans="2:11" ht="12.75">
      <c r="B18" s="350"/>
      <c r="C18" s="351"/>
      <c r="D18" s="351"/>
      <c r="E18" s="351"/>
      <c r="F18" s="351"/>
      <c r="G18" s="352"/>
      <c r="H18" s="352"/>
      <c r="I18" s="352"/>
      <c r="J18" s="352"/>
      <c r="K18" s="353"/>
    </row>
    <row r="19" spans="2:11" ht="12.75">
      <c r="B19" s="350"/>
      <c r="C19" s="351"/>
      <c r="D19" s="351" t="str">
        <f>'COMP.6'!D19</f>
        <v>Augusto Pestana, 22 de janeiro de 2018.</v>
      </c>
      <c r="E19" s="351"/>
      <c r="F19" s="351"/>
      <c r="G19" s="352"/>
      <c r="H19" s="352"/>
      <c r="I19" s="354" t="s">
        <v>44</v>
      </c>
      <c r="J19" s="354"/>
      <c r="K19" s="355">
        <f>SUM(I12:I16)</f>
        <v>261.336882</v>
      </c>
    </row>
    <row r="20" spans="2:11" ht="13.5" thickBot="1">
      <c r="B20" s="356"/>
      <c r="C20" s="357"/>
      <c r="D20" s="358"/>
      <c r="E20" s="358"/>
      <c r="F20" s="358"/>
      <c r="G20" s="359"/>
      <c r="H20" s="359"/>
      <c r="I20" s="360" t="s">
        <v>26</v>
      </c>
      <c r="J20" s="360"/>
      <c r="K20" s="361">
        <f>SUM(J12:J16)</f>
        <v>784.010646</v>
      </c>
    </row>
    <row r="21" spans="2:11" ht="12.75">
      <c r="B21" s="332"/>
      <c r="C21" s="332"/>
      <c r="D21" s="362"/>
      <c r="E21" s="362"/>
      <c r="F21" s="362"/>
      <c r="G21" s="363"/>
      <c r="H21" s="363"/>
      <c r="I21" s="364" t="s">
        <v>6</v>
      </c>
      <c r="J21" s="364"/>
      <c r="K21" s="364">
        <f>SUM(K19:K20)</f>
        <v>1045.347528</v>
      </c>
    </row>
    <row r="22" spans="2:11" ht="12.75">
      <c r="B22" s="332"/>
      <c r="C22" s="332"/>
      <c r="D22" s="332"/>
      <c r="E22" s="332"/>
      <c r="F22" s="332"/>
      <c r="G22" s="332"/>
      <c r="H22" s="332"/>
      <c r="I22" s="332"/>
      <c r="J22" s="332"/>
      <c r="K22" s="332"/>
    </row>
    <row r="23" spans="2:11" ht="12.75">
      <c r="B23" s="332"/>
      <c r="C23" s="332"/>
      <c r="D23" s="332"/>
      <c r="E23" s="332"/>
      <c r="F23" s="332"/>
      <c r="G23" s="332"/>
      <c r="H23" s="332"/>
      <c r="I23" s="332"/>
      <c r="J23" s="332"/>
      <c r="K23" s="332"/>
    </row>
    <row r="25" spans="7:8" ht="12.75" hidden="1">
      <c r="G25" t="s">
        <v>23</v>
      </c>
      <c r="H25" t="s">
        <v>24</v>
      </c>
    </row>
    <row r="26" spans="7:8" ht="12.75" hidden="1">
      <c r="G26">
        <v>27</v>
      </c>
      <c r="H26">
        <v>25</v>
      </c>
    </row>
  </sheetData>
  <sheetProtection/>
  <mergeCells count="1">
    <mergeCell ref="B9:K9"/>
  </mergeCells>
  <conditionalFormatting sqref="C16 E12:G12 E16:F16">
    <cfRule type="expression" priority="7" dxfId="0" stopIfTrue="1">
      <formula>$K12=1</formula>
    </cfRule>
  </conditionalFormatting>
  <conditionalFormatting sqref="C12">
    <cfRule type="expression" priority="6" dxfId="0" stopIfTrue="1">
      <formula>$K12=1</formula>
    </cfRule>
  </conditionalFormatting>
  <conditionalFormatting sqref="G13">
    <cfRule type="expression" priority="5" dxfId="0" stopIfTrue="1">
      <formula>$K13=1</formula>
    </cfRule>
  </conditionalFormatting>
  <conditionalFormatting sqref="G14">
    <cfRule type="expression" priority="4" dxfId="0" stopIfTrue="1">
      <formula>$K14=1</formula>
    </cfRule>
  </conditionalFormatting>
  <conditionalFormatting sqref="G15">
    <cfRule type="expression" priority="3" dxfId="0" stopIfTrue="1">
      <formula>$K15=1</formula>
    </cfRule>
  </conditionalFormatting>
  <conditionalFormatting sqref="G16">
    <cfRule type="expression" priority="2" dxfId="0" stopIfTrue="1">
      <formula>$K16=1</formula>
    </cfRule>
  </conditionalFormatting>
  <conditionalFormatting sqref="E13">
    <cfRule type="expression" priority="1" dxfId="0" stopIfTrue="1">
      <formula>$K13=1</formula>
    </cfRule>
  </conditionalFormatting>
  <conditionalFormatting sqref="C13:C15">
    <cfRule type="expression" priority="8" dxfId="0" stopIfTrue="1">
      <formula>'COMP.10'!#REF!=1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6"/>
  <sheetViews>
    <sheetView view="pageBreakPreview" zoomScale="85" zoomScaleNormal="85" zoomScaleSheetLayoutView="85" zoomScalePageLayoutView="0" workbookViewId="0" topLeftCell="A1">
      <selection activeCell="B8" sqref="B8:K23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80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 t="s">
        <v>81</v>
      </c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1" ht="12.75">
      <c r="B12" s="339"/>
      <c r="C12" s="340" t="s">
        <v>17</v>
      </c>
      <c r="D12" s="339" t="s">
        <v>57</v>
      </c>
      <c r="E12" s="340" t="s">
        <v>22</v>
      </c>
      <c r="F12" s="340">
        <v>92.84</v>
      </c>
      <c r="G12" s="341">
        <f>4.35*0.25</f>
        <v>1.0875</v>
      </c>
      <c r="H12" s="342">
        <f>4.35*0.75</f>
        <v>3.2624999999999997</v>
      </c>
      <c r="I12" s="342">
        <f>F12*G12</f>
        <v>100.9635</v>
      </c>
      <c r="J12" s="342">
        <f>F12*H12</f>
        <v>302.8905</v>
      </c>
      <c r="K12" s="343">
        <f>I12+J12</f>
        <v>403.854</v>
      </c>
    </row>
    <row r="13" spans="2:11" ht="36.75" customHeight="1">
      <c r="B13" s="339"/>
      <c r="C13" s="344" t="s">
        <v>17</v>
      </c>
      <c r="D13" s="339" t="s">
        <v>58</v>
      </c>
      <c r="E13" s="340" t="s">
        <v>22</v>
      </c>
      <c r="F13" s="345">
        <v>33.96</v>
      </c>
      <c r="G13" s="341">
        <f>4.35*0.25</f>
        <v>1.0875</v>
      </c>
      <c r="H13" s="342">
        <f>4.35*0.75</f>
        <v>3.2624999999999997</v>
      </c>
      <c r="I13" s="342">
        <f>F13*G13</f>
        <v>36.9315</v>
      </c>
      <c r="J13" s="342">
        <f>F13*H13</f>
        <v>110.7945</v>
      </c>
      <c r="K13" s="343">
        <f>I13+J13</f>
        <v>147.726</v>
      </c>
    </row>
    <row r="14" spans="2:11" ht="47.25" customHeight="1">
      <c r="B14" s="339" t="s">
        <v>36</v>
      </c>
      <c r="C14" s="344" t="s">
        <v>17</v>
      </c>
      <c r="D14" s="339" t="s">
        <v>37</v>
      </c>
      <c r="E14" s="365" t="s">
        <v>25</v>
      </c>
      <c r="F14" s="365">
        <v>6</v>
      </c>
      <c r="G14" s="341">
        <f>15.69*0.25</f>
        <v>3.9225</v>
      </c>
      <c r="H14" s="342">
        <f>15.69*0.75</f>
        <v>11.7675</v>
      </c>
      <c r="I14" s="342">
        <f>F14*G14</f>
        <v>23.535</v>
      </c>
      <c r="J14" s="342">
        <f>F14*H14</f>
        <v>70.605</v>
      </c>
      <c r="K14" s="343">
        <f>I14+J14</f>
        <v>94.14</v>
      </c>
    </row>
    <row r="15" spans="2:11" ht="22.5">
      <c r="B15" s="339" t="s">
        <v>39</v>
      </c>
      <c r="C15" s="344" t="s">
        <v>17</v>
      </c>
      <c r="D15" s="339" t="s">
        <v>40</v>
      </c>
      <c r="E15" s="365" t="s">
        <v>19</v>
      </c>
      <c r="F15" s="365">
        <f>(16.58*(2*(0.05+0.15+0.05)))+(10.12*(2*(0.04+0.14+0.04)))</f>
        <v>12.742799999999999</v>
      </c>
      <c r="G15" s="341">
        <f>16.95*0.25</f>
        <v>4.2375</v>
      </c>
      <c r="H15" s="342">
        <f>16.95*0.75</f>
        <v>12.712499999999999</v>
      </c>
      <c r="I15" s="342">
        <f>F15*G15</f>
        <v>53.997614999999996</v>
      </c>
      <c r="J15" s="342">
        <f>F15*H15</f>
        <v>161.99284499999996</v>
      </c>
      <c r="K15" s="343">
        <f>I15+J15</f>
        <v>215.99045999999996</v>
      </c>
    </row>
    <row r="16" spans="2:11" ht="22.5">
      <c r="B16" s="339" t="s">
        <v>41</v>
      </c>
      <c r="C16" s="340" t="s">
        <v>17</v>
      </c>
      <c r="D16" s="339" t="s">
        <v>42</v>
      </c>
      <c r="E16" s="340" t="s">
        <v>19</v>
      </c>
      <c r="F16" s="340">
        <f>(16.58*(2*(0.05+0.15+0.05)))+(10.12*(2*(0.04+0.14+0.04)))</f>
        <v>12.742799999999999</v>
      </c>
      <c r="G16" s="341">
        <f>22.68*0.25</f>
        <v>5.67</v>
      </c>
      <c r="H16" s="342">
        <f>22.68*0.75</f>
        <v>17.009999999999998</v>
      </c>
      <c r="I16" s="342">
        <f>F16*G16</f>
        <v>72.25167599999999</v>
      </c>
      <c r="J16" s="342">
        <f>F16*H16</f>
        <v>216.75502799999995</v>
      </c>
      <c r="K16" s="343">
        <f>I16+J16</f>
        <v>289.00670399999996</v>
      </c>
    </row>
    <row r="17" spans="2:11" ht="12.75">
      <c r="B17" s="346"/>
      <c r="C17" s="347"/>
      <c r="D17" s="348" t="s">
        <v>6</v>
      </c>
      <c r="E17" s="349"/>
      <c r="F17" s="349"/>
      <c r="G17" s="342"/>
      <c r="H17" s="342"/>
      <c r="I17" s="342"/>
      <c r="J17" s="342"/>
      <c r="K17" s="343">
        <f>SUM(K12:K16)</f>
        <v>1150.717164</v>
      </c>
    </row>
    <row r="18" spans="2:11" ht="12.75">
      <c r="B18" s="350"/>
      <c r="C18" s="351"/>
      <c r="D18" s="351"/>
      <c r="E18" s="351"/>
      <c r="F18" s="351"/>
      <c r="G18" s="352"/>
      <c r="H18" s="352"/>
      <c r="I18" s="352"/>
      <c r="J18" s="352"/>
      <c r="K18" s="353"/>
    </row>
    <row r="19" spans="2:11" ht="12.75">
      <c r="B19" s="350"/>
      <c r="C19" s="351"/>
      <c r="D19" s="351" t="str">
        <f>'COMP.6'!D19</f>
        <v>Augusto Pestana, 22 de janeiro de 2018.</v>
      </c>
      <c r="E19" s="351"/>
      <c r="F19" s="351"/>
      <c r="G19" s="352"/>
      <c r="H19" s="352"/>
      <c r="I19" s="354" t="s">
        <v>44</v>
      </c>
      <c r="J19" s="354"/>
      <c r="K19" s="355">
        <f>SUM(I12:I16)</f>
        <v>287.679291</v>
      </c>
    </row>
    <row r="20" spans="2:11" ht="13.5" thickBot="1">
      <c r="B20" s="356"/>
      <c r="C20" s="357"/>
      <c r="D20" s="358"/>
      <c r="E20" s="358"/>
      <c r="F20" s="358"/>
      <c r="G20" s="359"/>
      <c r="H20" s="359"/>
      <c r="I20" s="360" t="s">
        <v>26</v>
      </c>
      <c r="J20" s="360"/>
      <c r="K20" s="361">
        <f>SUM(J12:J16)</f>
        <v>863.0378729999999</v>
      </c>
    </row>
    <row r="21" spans="2:11" ht="12.75">
      <c r="B21" s="332"/>
      <c r="C21" s="332"/>
      <c r="D21" s="362"/>
      <c r="E21" s="362"/>
      <c r="F21" s="362"/>
      <c r="G21" s="363"/>
      <c r="H21" s="363"/>
      <c r="I21" s="364" t="s">
        <v>6</v>
      </c>
      <c r="J21" s="364"/>
      <c r="K21" s="364">
        <f>SUM(K19:K20)</f>
        <v>1150.717164</v>
      </c>
    </row>
    <row r="22" spans="2:11" ht="12.75">
      <c r="B22" s="332"/>
      <c r="C22" s="332"/>
      <c r="D22" s="332"/>
      <c r="E22" s="332"/>
      <c r="F22" s="332"/>
      <c r="G22" s="332"/>
      <c r="H22" s="332"/>
      <c r="I22" s="332"/>
      <c r="J22" s="332"/>
      <c r="K22" s="332"/>
    </row>
    <row r="23" spans="2:11" ht="12.75">
      <c r="B23" s="332"/>
      <c r="C23" s="332"/>
      <c r="D23" s="332"/>
      <c r="E23" s="332"/>
      <c r="F23" s="332"/>
      <c r="G23" s="332"/>
      <c r="H23" s="332"/>
      <c r="I23" s="332"/>
      <c r="J23" s="332"/>
      <c r="K23" s="332"/>
    </row>
    <row r="25" spans="7:8" ht="12.75" hidden="1">
      <c r="G25" t="s">
        <v>23</v>
      </c>
      <c r="H25" t="s">
        <v>24</v>
      </c>
    </row>
    <row r="26" spans="7:8" ht="12.75" hidden="1">
      <c r="G26">
        <v>27</v>
      </c>
      <c r="H26">
        <v>25</v>
      </c>
    </row>
  </sheetData>
  <sheetProtection/>
  <mergeCells count="1">
    <mergeCell ref="B9:K9"/>
  </mergeCells>
  <conditionalFormatting sqref="C16 E12:G12 E16:F16">
    <cfRule type="expression" priority="7" dxfId="0" stopIfTrue="1">
      <formula>$K12=1</formula>
    </cfRule>
  </conditionalFormatting>
  <conditionalFormatting sqref="C12">
    <cfRule type="expression" priority="6" dxfId="0" stopIfTrue="1">
      <formula>$K12=1</formula>
    </cfRule>
  </conditionalFormatting>
  <conditionalFormatting sqref="G13">
    <cfRule type="expression" priority="5" dxfId="0" stopIfTrue="1">
      <formula>$K13=1</formula>
    </cfRule>
  </conditionalFormatting>
  <conditionalFormatting sqref="G14">
    <cfRule type="expression" priority="4" dxfId="0" stopIfTrue="1">
      <formula>$K14=1</formula>
    </cfRule>
  </conditionalFormatting>
  <conditionalFormatting sqref="G15">
    <cfRule type="expression" priority="3" dxfId="0" stopIfTrue="1">
      <formula>$K15=1</formula>
    </cfRule>
  </conditionalFormatting>
  <conditionalFormatting sqref="G16">
    <cfRule type="expression" priority="2" dxfId="0" stopIfTrue="1">
      <formula>$K16=1</formula>
    </cfRule>
  </conditionalFormatting>
  <conditionalFormatting sqref="E13">
    <cfRule type="expression" priority="1" dxfId="0" stopIfTrue="1">
      <formula>$K13=1</formula>
    </cfRule>
  </conditionalFormatting>
  <conditionalFormatting sqref="C13:C15">
    <cfRule type="expression" priority="8" dxfId="0" stopIfTrue="1">
      <formula>'COMP.11'!#REF!=1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6"/>
  <sheetViews>
    <sheetView view="pageBreakPreview" zoomScale="85" zoomScaleNormal="85" zoomScaleSheetLayoutView="85" zoomScalePageLayoutView="0" workbookViewId="0" topLeftCell="A1">
      <selection activeCell="B8" sqref="B8:K23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79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1" ht="12.75">
      <c r="B12" s="339"/>
      <c r="C12" s="340" t="s">
        <v>17</v>
      </c>
      <c r="D12" s="339" t="s">
        <v>57</v>
      </c>
      <c r="E12" s="340" t="s">
        <v>22</v>
      </c>
      <c r="F12" s="340">
        <v>76.49</v>
      </c>
      <c r="G12" s="341">
        <f>4.35*0.25</f>
        <v>1.0875</v>
      </c>
      <c r="H12" s="342">
        <f>4.35*0.75</f>
        <v>3.2624999999999997</v>
      </c>
      <c r="I12" s="342">
        <f>F12*G12</f>
        <v>83.18287499999998</v>
      </c>
      <c r="J12" s="342">
        <f>F12*H12</f>
        <v>249.54862499999996</v>
      </c>
      <c r="K12" s="343">
        <f>I12+J12</f>
        <v>332.7314999999999</v>
      </c>
    </row>
    <row r="13" spans="2:11" ht="36.75" customHeight="1">
      <c r="B13" s="339"/>
      <c r="C13" s="344" t="s">
        <v>17</v>
      </c>
      <c r="D13" s="339" t="s">
        <v>58</v>
      </c>
      <c r="E13" s="340" t="s">
        <v>22</v>
      </c>
      <c r="F13" s="345">
        <v>32.8</v>
      </c>
      <c r="G13" s="341">
        <f>4.35*0.25</f>
        <v>1.0875</v>
      </c>
      <c r="H13" s="342">
        <f>4.35*0.75</f>
        <v>3.2624999999999997</v>
      </c>
      <c r="I13" s="342">
        <f>F13*G13</f>
        <v>35.669999999999995</v>
      </c>
      <c r="J13" s="342">
        <f>F13*H13</f>
        <v>107.00999999999998</v>
      </c>
      <c r="K13" s="343">
        <f>I13+J13</f>
        <v>142.67999999999998</v>
      </c>
    </row>
    <row r="14" spans="2:11" ht="47.25" customHeight="1">
      <c r="B14" s="339" t="s">
        <v>36</v>
      </c>
      <c r="C14" s="344" t="s">
        <v>17</v>
      </c>
      <c r="D14" s="339" t="s">
        <v>37</v>
      </c>
      <c r="E14" s="365" t="s">
        <v>25</v>
      </c>
      <c r="F14" s="365">
        <v>6</v>
      </c>
      <c r="G14" s="341">
        <f>15.69*0.25</f>
        <v>3.9225</v>
      </c>
      <c r="H14" s="342">
        <f>15.69*0.75</f>
        <v>11.7675</v>
      </c>
      <c r="I14" s="342">
        <f>F14*G14</f>
        <v>23.535</v>
      </c>
      <c r="J14" s="342">
        <f>F14*H14</f>
        <v>70.605</v>
      </c>
      <c r="K14" s="343">
        <f>I14+J14</f>
        <v>94.14</v>
      </c>
    </row>
    <row r="15" spans="2:11" ht="22.5">
      <c r="B15" s="339" t="s">
        <v>39</v>
      </c>
      <c r="C15" s="344" t="s">
        <v>17</v>
      </c>
      <c r="D15" s="339" t="s">
        <v>40</v>
      </c>
      <c r="E15" s="365" t="s">
        <v>19</v>
      </c>
      <c r="F15" s="365">
        <f>(13.66*(2*(0.05+0.15+0.05)))+(9.85*(2*(0.04+0.14+0.04)))</f>
        <v>11.164000000000001</v>
      </c>
      <c r="G15" s="341">
        <f>16.95*0.25</f>
        <v>4.2375</v>
      </c>
      <c r="H15" s="342">
        <f>16.95*0.75</f>
        <v>12.712499999999999</v>
      </c>
      <c r="I15" s="342">
        <f>F15*G15</f>
        <v>47.30745</v>
      </c>
      <c r="J15" s="342">
        <f>F15*H15</f>
        <v>141.92235</v>
      </c>
      <c r="K15" s="343">
        <f>I15+J15</f>
        <v>189.2298</v>
      </c>
    </row>
    <row r="16" spans="2:11" ht="22.5">
      <c r="B16" s="339" t="s">
        <v>41</v>
      </c>
      <c r="C16" s="340" t="s">
        <v>17</v>
      </c>
      <c r="D16" s="339" t="s">
        <v>42</v>
      </c>
      <c r="E16" s="340" t="s">
        <v>19</v>
      </c>
      <c r="F16" s="340">
        <f>(13.66*(2*(0.05+0.15+0.05)))+(9.85*(2*(0.04+0.14+0.04)))</f>
        <v>11.164000000000001</v>
      </c>
      <c r="G16" s="341">
        <f>22.68*0.25</f>
        <v>5.67</v>
      </c>
      <c r="H16" s="342">
        <f>22.68*0.75</f>
        <v>17.009999999999998</v>
      </c>
      <c r="I16" s="342">
        <f>F16*G16</f>
        <v>63.29988000000001</v>
      </c>
      <c r="J16" s="342">
        <f>F16*H16</f>
        <v>189.89964</v>
      </c>
      <c r="K16" s="343">
        <f>I16+J16</f>
        <v>253.19952</v>
      </c>
    </row>
    <row r="17" spans="2:11" ht="12.75">
      <c r="B17" s="346"/>
      <c r="C17" s="347"/>
      <c r="D17" s="348" t="s">
        <v>6</v>
      </c>
      <c r="E17" s="349"/>
      <c r="F17" s="349"/>
      <c r="G17" s="342"/>
      <c r="H17" s="342"/>
      <c r="I17" s="342"/>
      <c r="J17" s="342"/>
      <c r="K17" s="343">
        <f>SUM(K12:K16)</f>
        <v>1011.9808199999999</v>
      </c>
    </row>
    <row r="18" spans="2:11" ht="12.75">
      <c r="B18" s="350"/>
      <c r="C18" s="351"/>
      <c r="D18" s="351"/>
      <c r="E18" s="351"/>
      <c r="F18" s="351"/>
      <c r="G18" s="352"/>
      <c r="H18" s="352"/>
      <c r="I18" s="352"/>
      <c r="J18" s="352"/>
      <c r="K18" s="353"/>
    </row>
    <row r="19" spans="2:11" ht="12.75">
      <c r="B19" s="350"/>
      <c r="C19" s="351"/>
      <c r="D19" s="351" t="str">
        <f>'COMP.6'!D19</f>
        <v>Augusto Pestana, 22 de janeiro de 2018.</v>
      </c>
      <c r="E19" s="351"/>
      <c r="F19" s="351"/>
      <c r="G19" s="352"/>
      <c r="H19" s="352"/>
      <c r="I19" s="354" t="s">
        <v>44</v>
      </c>
      <c r="J19" s="354"/>
      <c r="K19" s="355">
        <f>SUM(I12:I16)</f>
        <v>252.99520499999997</v>
      </c>
    </row>
    <row r="20" spans="2:11" ht="13.5" thickBot="1">
      <c r="B20" s="356"/>
      <c r="C20" s="357"/>
      <c r="D20" s="358"/>
      <c r="E20" s="358"/>
      <c r="F20" s="358"/>
      <c r="G20" s="359"/>
      <c r="H20" s="359"/>
      <c r="I20" s="360" t="s">
        <v>26</v>
      </c>
      <c r="J20" s="360"/>
      <c r="K20" s="361">
        <f>SUM(J12:J16)</f>
        <v>758.9856149999999</v>
      </c>
    </row>
    <row r="21" spans="2:11" ht="12.75">
      <c r="B21" s="332"/>
      <c r="C21" s="332"/>
      <c r="D21" s="362"/>
      <c r="E21" s="362"/>
      <c r="F21" s="362"/>
      <c r="G21" s="363"/>
      <c r="H21" s="363"/>
      <c r="I21" s="364" t="s">
        <v>6</v>
      </c>
      <c r="J21" s="364"/>
      <c r="K21" s="364">
        <f>SUM(K19:K20)</f>
        <v>1011.9808199999999</v>
      </c>
    </row>
    <row r="22" spans="2:11" ht="12.75">
      <c r="B22" s="332"/>
      <c r="C22" s="332"/>
      <c r="D22" s="332"/>
      <c r="E22" s="332"/>
      <c r="F22" s="332"/>
      <c r="G22" s="332"/>
      <c r="H22" s="332"/>
      <c r="I22" s="332"/>
      <c r="J22" s="332"/>
      <c r="K22" s="332"/>
    </row>
    <row r="23" spans="2:11" ht="12.75">
      <c r="B23" s="332"/>
      <c r="C23" s="332"/>
      <c r="D23" s="332"/>
      <c r="E23" s="332"/>
      <c r="F23" s="332"/>
      <c r="G23" s="332"/>
      <c r="H23" s="332"/>
      <c r="I23" s="332"/>
      <c r="J23" s="332"/>
      <c r="K23" s="332"/>
    </row>
    <row r="25" spans="7:8" ht="12.75" hidden="1">
      <c r="G25" t="s">
        <v>23</v>
      </c>
      <c r="H25" t="s">
        <v>24</v>
      </c>
    </row>
    <row r="26" spans="7:8" ht="12.75" hidden="1">
      <c r="G26">
        <v>27</v>
      </c>
      <c r="H26">
        <v>25</v>
      </c>
    </row>
  </sheetData>
  <sheetProtection/>
  <mergeCells count="1">
    <mergeCell ref="B9:K9"/>
  </mergeCells>
  <conditionalFormatting sqref="C16 E12:G12 E16:F16">
    <cfRule type="expression" priority="7" dxfId="0" stopIfTrue="1">
      <formula>$K12=1</formula>
    </cfRule>
  </conditionalFormatting>
  <conditionalFormatting sqref="C12">
    <cfRule type="expression" priority="6" dxfId="0" stopIfTrue="1">
      <formula>$K12=1</formula>
    </cfRule>
  </conditionalFormatting>
  <conditionalFormatting sqref="G13">
    <cfRule type="expression" priority="5" dxfId="0" stopIfTrue="1">
      <formula>$K13=1</formula>
    </cfRule>
  </conditionalFormatting>
  <conditionalFormatting sqref="G14">
    <cfRule type="expression" priority="4" dxfId="0" stopIfTrue="1">
      <formula>$K14=1</formula>
    </cfRule>
  </conditionalFormatting>
  <conditionalFormatting sqref="G15">
    <cfRule type="expression" priority="3" dxfId="0" stopIfTrue="1">
      <formula>$K15=1</formula>
    </cfRule>
  </conditionalFormatting>
  <conditionalFormatting sqref="G16">
    <cfRule type="expression" priority="2" dxfId="0" stopIfTrue="1">
      <formula>$K16=1</formula>
    </cfRule>
  </conditionalFormatting>
  <conditionalFormatting sqref="E13">
    <cfRule type="expression" priority="1" dxfId="0" stopIfTrue="1">
      <formula>$K13=1</formula>
    </cfRule>
  </conditionalFormatting>
  <conditionalFormatting sqref="C13:C15">
    <cfRule type="expression" priority="8" dxfId="0" stopIfTrue="1">
      <formula>'COMP.12'!#REF!=1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6"/>
  <sheetViews>
    <sheetView view="pageBreakPreview" zoomScale="85" zoomScaleNormal="85" zoomScaleSheetLayoutView="85" zoomScalePageLayoutView="0" workbookViewId="0" topLeftCell="A1">
      <selection activeCell="B8" sqref="B8:K23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78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1" ht="12.75">
      <c r="B12" s="339"/>
      <c r="C12" s="340" t="s">
        <v>17</v>
      </c>
      <c r="D12" s="339" t="s">
        <v>57</v>
      </c>
      <c r="E12" s="340" t="s">
        <v>22</v>
      </c>
      <c r="F12" s="340">
        <v>79.52</v>
      </c>
      <c r="G12" s="341">
        <f>4.35*0.25</f>
        <v>1.0875</v>
      </c>
      <c r="H12" s="342">
        <f>4.35*0.75</f>
        <v>3.2624999999999997</v>
      </c>
      <c r="I12" s="342">
        <f>F12*G12</f>
        <v>86.478</v>
      </c>
      <c r="J12" s="342">
        <f>F12*H12</f>
        <v>259.43399999999997</v>
      </c>
      <c r="K12" s="343">
        <f>I12+J12</f>
        <v>345.912</v>
      </c>
    </row>
    <row r="13" spans="2:11" ht="36.75" customHeight="1">
      <c r="B13" s="339"/>
      <c r="C13" s="344" t="s">
        <v>17</v>
      </c>
      <c r="D13" s="339" t="s">
        <v>58</v>
      </c>
      <c r="E13" s="340" t="s">
        <v>22</v>
      </c>
      <c r="F13" s="345">
        <v>35.59</v>
      </c>
      <c r="G13" s="341">
        <f>4.35*0.25</f>
        <v>1.0875</v>
      </c>
      <c r="H13" s="342">
        <f>4.35*0.75</f>
        <v>3.2624999999999997</v>
      </c>
      <c r="I13" s="342">
        <f>F13*G13</f>
        <v>38.704125</v>
      </c>
      <c r="J13" s="342">
        <f>F13*H13</f>
        <v>116.112375</v>
      </c>
      <c r="K13" s="343">
        <f>I13+J13</f>
        <v>154.8165</v>
      </c>
    </row>
    <row r="14" spans="2:11" ht="47.25" customHeight="1">
      <c r="B14" s="339" t="s">
        <v>36</v>
      </c>
      <c r="C14" s="344" t="s">
        <v>17</v>
      </c>
      <c r="D14" s="339" t="s">
        <v>37</v>
      </c>
      <c r="E14" s="365" t="s">
        <v>25</v>
      </c>
      <c r="F14" s="365">
        <v>6</v>
      </c>
      <c r="G14" s="341">
        <f>15.69*0.25</f>
        <v>3.9225</v>
      </c>
      <c r="H14" s="342">
        <f>15.69*0.75</f>
        <v>11.7675</v>
      </c>
      <c r="I14" s="342">
        <f>F14*G14</f>
        <v>23.535</v>
      </c>
      <c r="J14" s="342">
        <f>F14*H14</f>
        <v>70.605</v>
      </c>
      <c r="K14" s="343">
        <f>I14+J14</f>
        <v>94.14</v>
      </c>
    </row>
    <row r="15" spans="2:11" ht="22.5">
      <c r="B15" s="339" t="s">
        <v>39</v>
      </c>
      <c r="C15" s="344" t="s">
        <v>17</v>
      </c>
      <c r="D15" s="339" t="s">
        <v>40</v>
      </c>
      <c r="E15" s="365" t="s">
        <v>19</v>
      </c>
      <c r="F15" s="365">
        <f>(14.2*(2*(0.05+0.15+0.05)))+(10.69*(2*(0.04+0.14+0.04)))</f>
        <v>11.8036</v>
      </c>
      <c r="G15" s="341">
        <f>16.95*0.25</f>
        <v>4.2375</v>
      </c>
      <c r="H15" s="342">
        <f>16.95*0.75</f>
        <v>12.712499999999999</v>
      </c>
      <c r="I15" s="342">
        <f>F15*G15</f>
        <v>50.017754999999994</v>
      </c>
      <c r="J15" s="342">
        <f>F15*H15</f>
        <v>150.05326499999998</v>
      </c>
      <c r="K15" s="343">
        <f>I15+J15</f>
        <v>200.07101999999998</v>
      </c>
    </row>
    <row r="16" spans="2:11" ht="22.5">
      <c r="B16" s="339" t="s">
        <v>41</v>
      </c>
      <c r="C16" s="340" t="s">
        <v>17</v>
      </c>
      <c r="D16" s="339" t="s">
        <v>42</v>
      </c>
      <c r="E16" s="340" t="s">
        <v>19</v>
      </c>
      <c r="F16" s="340">
        <f>(14.2*(2*(0.05+0.15+0.05)))+(10.69*(2*(0.04+0.14+0.04)))</f>
        <v>11.8036</v>
      </c>
      <c r="G16" s="341">
        <f>22.68*0.25</f>
        <v>5.67</v>
      </c>
      <c r="H16" s="342">
        <f>22.68*0.75</f>
        <v>17.009999999999998</v>
      </c>
      <c r="I16" s="342">
        <f>F16*G16</f>
        <v>66.926412</v>
      </c>
      <c r="J16" s="342">
        <f>F16*H16</f>
        <v>200.77923599999997</v>
      </c>
      <c r="K16" s="343">
        <f>I16+J16</f>
        <v>267.705648</v>
      </c>
    </row>
    <row r="17" spans="2:11" ht="12.75">
      <c r="B17" s="346"/>
      <c r="C17" s="347"/>
      <c r="D17" s="348" t="s">
        <v>6</v>
      </c>
      <c r="E17" s="349"/>
      <c r="F17" s="349"/>
      <c r="G17" s="342"/>
      <c r="H17" s="342"/>
      <c r="I17" s="342"/>
      <c r="J17" s="342"/>
      <c r="K17" s="343">
        <f>SUM(K12:K16)</f>
        <v>1062.645168</v>
      </c>
    </row>
    <row r="18" spans="2:11" ht="12.75">
      <c r="B18" s="350"/>
      <c r="C18" s="351"/>
      <c r="D18" s="351"/>
      <c r="E18" s="351"/>
      <c r="F18" s="351"/>
      <c r="G18" s="352"/>
      <c r="H18" s="352"/>
      <c r="I18" s="352"/>
      <c r="J18" s="352"/>
      <c r="K18" s="353"/>
    </row>
    <row r="19" spans="2:11" ht="12.75">
      <c r="B19" s="350"/>
      <c r="C19" s="351"/>
      <c r="D19" s="351" t="str">
        <f>'COMP.6'!D19</f>
        <v>Augusto Pestana, 22 de janeiro de 2018.</v>
      </c>
      <c r="E19" s="351"/>
      <c r="F19" s="351"/>
      <c r="G19" s="352"/>
      <c r="H19" s="352"/>
      <c r="I19" s="354" t="s">
        <v>44</v>
      </c>
      <c r="J19" s="354"/>
      <c r="K19" s="355">
        <f>SUM(I12:I16)</f>
        <v>265.661292</v>
      </c>
    </row>
    <row r="20" spans="2:11" ht="13.5" thickBot="1">
      <c r="B20" s="356"/>
      <c r="C20" s="357"/>
      <c r="D20" s="358"/>
      <c r="E20" s="358"/>
      <c r="F20" s="358"/>
      <c r="G20" s="359"/>
      <c r="H20" s="359"/>
      <c r="I20" s="360" t="s">
        <v>26</v>
      </c>
      <c r="J20" s="360"/>
      <c r="K20" s="361">
        <f>SUM(J12:J16)</f>
        <v>796.9838759999999</v>
      </c>
    </row>
    <row r="21" spans="2:11" ht="12.75">
      <c r="B21" s="332"/>
      <c r="C21" s="332"/>
      <c r="D21" s="362"/>
      <c r="E21" s="362"/>
      <c r="F21" s="362"/>
      <c r="G21" s="363"/>
      <c r="H21" s="363"/>
      <c r="I21" s="364" t="s">
        <v>6</v>
      </c>
      <c r="J21" s="364"/>
      <c r="K21" s="364">
        <f>SUM(K19:K20)</f>
        <v>1062.645168</v>
      </c>
    </row>
    <row r="22" spans="2:11" ht="12.75">
      <c r="B22" s="332"/>
      <c r="C22" s="332"/>
      <c r="D22" s="332"/>
      <c r="E22" s="332"/>
      <c r="F22" s="332"/>
      <c r="G22" s="332"/>
      <c r="H22" s="332"/>
      <c r="I22" s="332"/>
      <c r="J22" s="332"/>
      <c r="K22" s="332"/>
    </row>
    <row r="23" spans="2:11" ht="12.75">
      <c r="B23" s="332"/>
      <c r="C23" s="332"/>
      <c r="D23" s="332"/>
      <c r="E23" s="332"/>
      <c r="F23" s="332"/>
      <c r="G23" s="332"/>
      <c r="H23" s="332"/>
      <c r="I23" s="332"/>
      <c r="J23" s="332"/>
      <c r="K23" s="332"/>
    </row>
    <row r="25" spans="7:8" ht="12.75" hidden="1">
      <c r="G25" t="s">
        <v>23</v>
      </c>
      <c r="H25" t="s">
        <v>24</v>
      </c>
    </row>
    <row r="26" spans="7:8" ht="12.75" hidden="1">
      <c r="G26">
        <v>27</v>
      </c>
      <c r="H26">
        <v>25</v>
      </c>
    </row>
  </sheetData>
  <sheetProtection/>
  <mergeCells count="1">
    <mergeCell ref="B9:K9"/>
  </mergeCells>
  <conditionalFormatting sqref="C16 E12:G12 E16:F16">
    <cfRule type="expression" priority="7" dxfId="0" stopIfTrue="1">
      <formula>$K12=1</formula>
    </cfRule>
  </conditionalFormatting>
  <conditionalFormatting sqref="C12">
    <cfRule type="expression" priority="6" dxfId="0" stopIfTrue="1">
      <formula>$K12=1</formula>
    </cfRule>
  </conditionalFormatting>
  <conditionalFormatting sqref="G13">
    <cfRule type="expression" priority="5" dxfId="0" stopIfTrue="1">
      <formula>$K13=1</formula>
    </cfRule>
  </conditionalFormatting>
  <conditionalFormatting sqref="G14">
    <cfRule type="expression" priority="4" dxfId="0" stopIfTrue="1">
      <formula>$K14=1</formula>
    </cfRule>
  </conditionalFormatting>
  <conditionalFormatting sqref="G15">
    <cfRule type="expression" priority="3" dxfId="0" stopIfTrue="1">
      <formula>$K15=1</formula>
    </cfRule>
  </conditionalFormatting>
  <conditionalFormatting sqref="G16">
    <cfRule type="expression" priority="2" dxfId="0" stopIfTrue="1">
      <formula>$K16=1</formula>
    </cfRule>
  </conditionalFormatting>
  <conditionalFormatting sqref="E13">
    <cfRule type="expression" priority="1" dxfId="0" stopIfTrue="1">
      <formula>$K13=1</formula>
    </cfRule>
  </conditionalFormatting>
  <conditionalFormatting sqref="C13:C15">
    <cfRule type="expression" priority="8" dxfId="0" stopIfTrue="1">
      <formula>'COMP.13'!#REF!=1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6"/>
  <sheetViews>
    <sheetView view="pageBreakPreview" zoomScale="85" zoomScaleNormal="85" zoomScaleSheetLayoutView="85" zoomScalePageLayoutView="0" workbookViewId="0" topLeftCell="A1">
      <selection activeCell="B8" sqref="B8:K23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77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1" ht="12.75">
      <c r="B12" s="339"/>
      <c r="C12" s="340" t="s">
        <v>17</v>
      </c>
      <c r="D12" s="339" t="s">
        <v>57</v>
      </c>
      <c r="E12" s="340" t="s">
        <v>22</v>
      </c>
      <c r="F12" s="340">
        <v>82.65</v>
      </c>
      <c r="G12" s="341">
        <f>4.35*0.25</f>
        <v>1.0875</v>
      </c>
      <c r="H12" s="342">
        <f>4.35*0.75</f>
        <v>3.2624999999999997</v>
      </c>
      <c r="I12" s="342">
        <f>F12*G12</f>
        <v>89.881875</v>
      </c>
      <c r="J12" s="342">
        <f>F12*H12</f>
        <v>269.645625</v>
      </c>
      <c r="K12" s="343">
        <f>I12+J12</f>
        <v>359.5275</v>
      </c>
    </row>
    <row r="13" spans="2:11" ht="36.75" customHeight="1">
      <c r="B13" s="339"/>
      <c r="C13" s="344" t="s">
        <v>17</v>
      </c>
      <c r="D13" s="339" t="s">
        <v>58</v>
      </c>
      <c r="E13" s="340" t="s">
        <v>22</v>
      </c>
      <c r="F13" s="345">
        <v>36.29</v>
      </c>
      <c r="G13" s="341">
        <f>4.35*0.25</f>
        <v>1.0875</v>
      </c>
      <c r="H13" s="342">
        <f>4.35*0.75</f>
        <v>3.2624999999999997</v>
      </c>
      <c r="I13" s="342">
        <f>F13*G13</f>
        <v>39.465374999999995</v>
      </c>
      <c r="J13" s="342">
        <f>F13*H13</f>
        <v>118.39612499999998</v>
      </c>
      <c r="K13" s="343">
        <f>I13+J13</f>
        <v>157.86149999999998</v>
      </c>
    </row>
    <row r="14" spans="2:11" ht="47.25" customHeight="1">
      <c r="B14" s="339" t="s">
        <v>36</v>
      </c>
      <c r="C14" s="344" t="s">
        <v>17</v>
      </c>
      <c r="D14" s="339" t="s">
        <v>37</v>
      </c>
      <c r="E14" s="365" t="s">
        <v>25</v>
      </c>
      <c r="F14" s="365">
        <v>6</v>
      </c>
      <c r="G14" s="341">
        <f>15.69*0.25</f>
        <v>3.9225</v>
      </c>
      <c r="H14" s="342">
        <f>15.69*0.75</f>
        <v>11.7675</v>
      </c>
      <c r="I14" s="342">
        <f>F14*G14</f>
        <v>23.535</v>
      </c>
      <c r="J14" s="342">
        <f>F14*H14</f>
        <v>70.605</v>
      </c>
      <c r="K14" s="343">
        <f>I14+J14</f>
        <v>94.14</v>
      </c>
    </row>
    <row r="15" spans="2:11" ht="22.5">
      <c r="B15" s="339" t="s">
        <v>39</v>
      </c>
      <c r="C15" s="344" t="s">
        <v>17</v>
      </c>
      <c r="D15" s="339" t="s">
        <v>40</v>
      </c>
      <c r="E15" s="365" t="s">
        <v>19</v>
      </c>
      <c r="F15" s="365">
        <f>(14.76*(2*(0.05+0.15+0.05)))+(10.9*(2*(0.04+0.14+0.04)))</f>
        <v>12.176000000000002</v>
      </c>
      <c r="G15" s="341">
        <f>16.95*0.25</f>
        <v>4.2375</v>
      </c>
      <c r="H15" s="342">
        <f>16.95*0.75</f>
        <v>12.712499999999999</v>
      </c>
      <c r="I15" s="342">
        <f>F15*G15</f>
        <v>51.595800000000004</v>
      </c>
      <c r="J15" s="342">
        <f>F15*H15</f>
        <v>154.78740000000002</v>
      </c>
      <c r="K15" s="343">
        <f>I15+J15</f>
        <v>206.38320000000002</v>
      </c>
    </row>
    <row r="16" spans="2:11" ht="22.5">
      <c r="B16" s="339" t="s">
        <v>41</v>
      </c>
      <c r="C16" s="340" t="s">
        <v>17</v>
      </c>
      <c r="D16" s="339" t="s">
        <v>42</v>
      </c>
      <c r="E16" s="340" t="s">
        <v>19</v>
      </c>
      <c r="F16" s="340">
        <f>(14.76*(2*(0.05+0.15+0.05)))+(10.9*(2*(0.04+0.14+0.04)))</f>
        <v>12.176000000000002</v>
      </c>
      <c r="G16" s="341">
        <f>22.68*0.25</f>
        <v>5.67</v>
      </c>
      <c r="H16" s="342">
        <f>22.68*0.75</f>
        <v>17.009999999999998</v>
      </c>
      <c r="I16" s="342">
        <f>F16*G16</f>
        <v>69.03792000000001</v>
      </c>
      <c r="J16" s="342">
        <f>F16*H16</f>
        <v>207.11376</v>
      </c>
      <c r="K16" s="343">
        <f>I16+J16</f>
        <v>276.15168000000006</v>
      </c>
    </row>
    <row r="17" spans="2:11" ht="12.75">
      <c r="B17" s="346"/>
      <c r="C17" s="347"/>
      <c r="D17" s="348" t="s">
        <v>6</v>
      </c>
      <c r="E17" s="349"/>
      <c r="F17" s="349"/>
      <c r="G17" s="342"/>
      <c r="H17" s="342"/>
      <c r="I17" s="342"/>
      <c r="J17" s="342"/>
      <c r="K17" s="343">
        <f>SUM(K12:K16)</f>
        <v>1094.06388</v>
      </c>
    </row>
    <row r="18" spans="2:11" ht="12.75">
      <c r="B18" s="350"/>
      <c r="C18" s="351"/>
      <c r="D18" s="351"/>
      <c r="E18" s="351"/>
      <c r="F18" s="351"/>
      <c r="G18" s="352"/>
      <c r="H18" s="352"/>
      <c r="I18" s="352"/>
      <c r="J18" s="352"/>
      <c r="K18" s="353"/>
    </row>
    <row r="19" spans="2:11" ht="12.75">
      <c r="B19" s="350"/>
      <c r="C19" s="351"/>
      <c r="D19" s="351" t="str">
        <f>'COMP.6'!D19</f>
        <v>Augusto Pestana, 22 de janeiro de 2018.</v>
      </c>
      <c r="E19" s="351"/>
      <c r="F19" s="351"/>
      <c r="G19" s="352"/>
      <c r="H19" s="352"/>
      <c r="I19" s="354" t="s">
        <v>44</v>
      </c>
      <c r="J19" s="354"/>
      <c r="K19" s="355">
        <f>SUM(I12:I16)</f>
        <v>273.51597</v>
      </c>
    </row>
    <row r="20" spans="2:11" ht="13.5" thickBot="1">
      <c r="B20" s="356"/>
      <c r="C20" s="357"/>
      <c r="D20" s="358"/>
      <c r="E20" s="358"/>
      <c r="F20" s="358"/>
      <c r="G20" s="359"/>
      <c r="H20" s="359"/>
      <c r="I20" s="360" t="s">
        <v>26</v>
      </c>
      <c r="J20" s="360"/>
      <c r="K20" s="361">
        <f>SUM(J12:J16)</f>
        <v>820.54791</v>
      </c>
    </row>
    <row r="21" spans="2:11" ht="12.75">
      <c r="B21" s="332"/>
      <c r="C21" s="332"/>
      <c r="D21" s="362"/>
      <c r="E21" s="362"/>
      <c r="F21" s="362"/>
      <c r="G21" s="363"/>
      <c r="H21" s="363"/>
      <c r="I21" s="364" t="s">
        <v>6</v>
      </c>
      <c r="J21" s="364"/>
      <c r="K21" s="364">
        <f>SUM(K19:K20)</f>
        <v>1094.06388</v>
      </c>
    </row>
    <row r="22" spans="2:11" ht="12.75">
      <c r="B22" s="332"/>
      <c r="C22" s="332"/>
      <c r="D22" s="332"/>
      <c r="E22" s="332"/>
      <c r="F22" s="332"/>
      <c r="G22" s="332"/>
      <c r="H22" s="332"/>
      <c r="I22" s="332"/>
      <c r="J22" s="332"/>
      <c r="K22" s="332"/>
    </row>
    <row r="23" spans="2:11" ht="12.75">
      <c r="B23" s="332"/>
      <c r="C23" s="332"/>
      <c r="D23" s="332"/>
      <c r="E23" s="332"/>
      <c r="F23" s="332"/>
      <c r="G23" s="332"/>
      <c r="H23" s="332"/>
      <c r="I23" s="332"/>
      <c r="J23" s="332"/>
      <c r="K23" s="332"/>
    </row>
    <row r="25" spans="7:8" ht="12.75" hidden="1">
      <c r="G25" t="s">
        <v>23</v>
      </c>
      <c r="H25" t="s">
        <v>24</v>
      </c>
    </row>
    <row r="26" spans="7:8" ht="12.75" hidden="1">
      <c r="G26">
        <v>27</v>
      </c>
      <c r="H26">
        <v>25</v>
      </c>
    </row>
  </sheetData>
  <sheetProtection/>
  <mergeCells count="1">
    <mergeCell ref="B9:K9"/>
  </mergeCells>
  <conditionalFormatting sqref="C16 E12:G12 E16:F16">
    <cfRule type="expression" priority="7" dxfId="0" stopIfTrue="1">
      <formula>$K12=1</formula>
    </cfRule>
  </conditionalFormatting>
  <conditionalFormatting sqref="C12">
    <cfRule type="expression" priority="6" dxfId="0" stopIfTrue="1">
      <formula>$K12=1</formula>
    </cfRule>
  </conditionalFormatting>
  <conditionalFormatting sqref="G13">
    <cfRule type="expression" priority="5" dxfId="0" stopIfTrue="1">
      <formula>$K13=1</formula>
    </cfRule>
  </conditionalFormatting>
  <conditionalFormatting sqref="G14">
    <cfRule type="expression" priority="4" dxfId="0" stopIfTrue="1">
      <formula>$K14=1</formula>
    </cfRule>
  </conditionalFormatting>
  <conditionalFormatting sqref="G15">
    <cfRule type="expression" priority="3" dxfId="0" stopIfTrue="1">
      <formula>$K15=1</formula>
    </cfRule>
  </conditionalFormatting>
  <conditionalFormatting sqref="G16">
    <cfRule type="expression" priority="2" dxfId="0" stopIfTrue="1">
      <formula>$K16=1</formula>
    </cfRule>
  </conditionalFormatting>
  <conditionalFormatting sqref="E13">
    <cfRule type="expression" priority="1" dxfId="0" stopIfTrue="1">
      <formula>$K13=1</formula>
    </cfRule>
  </conditionalFormatting>
  <conditionalFormatting sqref="C13:C15">
    <cfRule type="expression" priority="8" dxfId="0" stopIfTrue="1">
      <formula>'COMP.14'!#REF!=1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6"/>
  <sheetViews>
    <sheetView view="pageBreakPreview" zoomScale="85" zoomScaleNormal="85" zoomScaleSheetLayoutView="85" zoomScalePageLayoutView="0" workbookViewId="0" topLeftCell="A1">
      <selection activeCell="B8" sqref="B8:K23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76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1" ht="12.75">
      <c r="B12" s="339"/>
      <c r="C12" s="340" t="s">
        <v>17</v>
      </c>
      <c r="D12" s="339" t="s">
        <v>57</v>
      </c>
      <c r="E12" s="340" t="s">
        <v>22</v>
      </c>
      <c r="F12" s="340">
        <v>85.79</v>
      </c>
      <c r="G12" s="341">
        <f>4.35*0.25</f>
        <v>1.0875</v>
      </c>
      <c r="H12" s="342">
        <f>4.35*0.75</f>
        <v>3.2624999999999997</v>
      </c>
      <c r="I12" s="342">
        <f>F12*G12</f>
        <v>93.296625</v>
      </c>
      <c r="J12" s="342">
        <f>F12*H12</f>
        <v>279.889875</v>
      </c>
      <c r="K12" s="343">
        <f>I12+J12</f>
        <v>373.1865</v>
      </c>
    </row>
    <row r="13" spans="2:11" ht="36.75" customHeight="1">
      <c r="B13" s="339"/>
      <c r="C13" s="344" t="s">
        <v>17</v>
      </c>
      <c r="D13" s="339" t="s">
        <v>58</v>
      </c>
      <c r="E13" s="340" t="s">
        <v>22</v>
      </c>
      <c r="F13" s="345">
        <v>39.09</v>
      </c>
      <c r="G13" s="341">
        <f>4.35*0.25</f>
        <v>1.0875</v>
      </c>
      <c r="H13" s="342">
        <f>4.35*0.75</f>
        <v>3.2624999999999997</v>
      </c>
      <c r="I13" s="342">
        <f>F13*G13</f>
        <v>42.510375</v>
      </c>
      <c r="J13" s="342">
        <f>F13*H13</f>
        <v>127.531125</v>
      </c>
      <c r="K13" s="343">
        <f>I13+J13</f>
        <v>170.0415</v>
      </c>
    </row>
    <row r="14" spans="2:11" ht="47.25" customHeight="1">
      <c r="B14" s="339" t="s">
        <v>36</v>
      </c>
      <c r="C14" s="344" t="s">
        <v>17</v>
      </c>
      <c r="D14" s="339" t="s">
        <v>37</v>
      </c>
      <c r="E14" s="365" t="s">
        <v>25</v>
      </c>
      <c r="F14" s="365">
        <v>6</v>
      </c>
      <c r="G14" s="341">
        <f>15.69*0.25</f>
        <v>3.9225</v>
      </c>
      <c r="H14" s="342">
        <f>15.69*0.75</f>
        <v>11.7675</v>
      </c>
      <c r="I14" s="342">
        <f>F14*G14</f>
        <v>23.535</v>
      </c>
      <c r="J14" s="342">
        <f>F14*H14</f>
        <v>70.605</v>
      </c>
      <c r="K14" s="343">
        <f>I14+J14</f>
        <v>94.14</v>
      </c>
    </row>
    <row r="15" spans="2:11" ht="22.5">
      <c r="B15" s="339" t="s">
        <v>39</v>
      </c>
      <c r="C15" s="344" t="s">
        <v>17</v>
      </c>
      <c r="D15" s="339" t="s">
        <v>40</v>
      </c>
      <c r="E15" s="365" t="s">
        <v>19</v>
      </c>
      <c r="F15" s="365">
        <f>(15.32*(2*(0.05+0.15+0.05)))+(11.74*(2*(0.04+0.14+0.04)))</f>
        <v>12.825600000000001</v>
      </c>
      <c r="G15" s="341">
        <f>16.95*0.25</f>
        <v>4.2375</v>
      </c>
      <c r="H15" s="342">
        <f>16.95*0.75</f>
        <v>12.712499999999999</v>
      </c>
      <c r="I15" s="342">
        <f>F15*G15</f>
        <v>54.34848</v>
      </c>
      <c r="J15" s="342">
        <f>F15*H15</f>
        <v>163.04544</v>
      </c>
      <c r="K15" s="343">
        <f>I15+J15</f>
        <v>217.39392</v>
      </c>
    </row>
    <row r="16" spans="2:11" ht="22.5">
      <c r="B16" s="339" t="s">
        <v>41</v>
      </c>
      <c r="C16" s="340" t="s">
        <v>17</v>
      </c>
      <c r="D16" s="339" t="s">
        <v>42</v>
      </c>
      <c r="E16" s="340" t="s">
        <v>19</v>
      </c>
      <c r="F16" s="340">
        <f>(15.32*(2*(0.05+0.15+0.05)))+(11.74*(2*(0.04+0.14+0.04)))</f>
        <v>12.825600000000001</v>
      </c>
      <c r="G16" s="341">
        <f>22.68*0.25</f>
        <v>5.67</v>
      </c>
      <c r="H16" s="342">
        <f>22.68*0.75</f>
        <v>17.009999999999998</v>
      </c>
      <c r="I16" s="342">
        <f>F16*G16</f>
        <v>72.721152</v>
      </c>
      <c r="J16" s="342">
        <f>F16*H16</f>
        <v>218.163456</v>
      </c>
      <c r="K16" s="343">
        <f>I16+J16</f>
        <v>290.884608</v>
      </c>
    </row>
    <row r="17" spans="2:11" ht="12.75">
      <c r="B17" s="346"/>
      <c r="C17" s="347"/>
      <c r="D17" s="348" t="s">
        <v>6</v>
      </c>
      <c r="E17" s="349"/>
      <c r="F17" s="349"/>
      <c r="G17" s="342"/>
      <c r="H17" s="342"/>
      <c r="I17" s="342"/>
      <c r="J17" s="342"/>
      <c r="K17" s="343">
        <f>SUM(K12:K16)</f>
        <v>1145.646528</v>
      </c>
    </row>
    <row r="18" spans="2:11" ht="12.75">
      <c r="B18" s="350"/>
      <c r="C18" s="351"/>
      <c r="D18" s="351"/>
      <c r="E18" s="351"/>
      <c r="F18" s="351"/>
      <c r="G18" s="352"/>
      <c r="H18" s="352"/>
      <c r="I18" s="352"/>
      <c r="J18" s="352"/>
      <c r="K18" s="353"/>
    </row>
    <row r="19" spans="2:11" ht="12.75">
      <c r="B19" s="350"/>
      <c r="C19" s="351"/>
      <c r="D19" s="351" t="str">
        <f>'COMP.6'!D19</f>
        <v>Augusto Pestana, 22 de janeiro de 2018.</v>
      </c>
      <c r="E19" s="351"/>
      <c r="F19" s="351"/>
      <c r="G19" s="352"/>
      <c r="H19" s="352"/>
      <c r="I19" s="354" t="s">
        <v>44</v>
      </c>
      <c r="J19" s="354"/>
      <c r="K19" s="355">
        <f>SUM(I12:I16)</f>
        <v>286.411632</v>
      </c>
    </row>
    <row r="20" spans="2:11" ht="13.5" thickBot="1">
      <c r="B20" s="356"/>
      <c r="C20" s="357"/>
      <c r="D20" s="358"/>
      <c r="E20" s="358"/>
      <c r="F20" s="358"/>
      <c r="G20" s="359"/>
      <c r="H20" s="359"/>
      <c r="I20" s="360" t="s">
        <v>26</v>
      </c>
      <c r="J20" s="360"/>
      <c r="K20" s="361">
        <f>SUM(J12:J16)</f>
        <v>859.234896</v>
      </c>
    </row>
    <row r="21" spans="2:11" ht="12.75">
      <c r="B21" s="332"/>
      <c r="C21" s="332"/>
      <c r="D21" s="362"/>
      <c r="E21" s="362"/>
      <c r="F21" s="362"/>
      <c r="G21" s="363"/>
      <c r="H21" s="363"/>
      <c r="I21" s="364" t="s">
        <v>6</v>
      </c>
      <c r="J21" s="364"/>
      <c r="K21" s="364">
        <f>SUM(K19:K20)</f>
        <v>1145.646528</v>
      </c>
    </row>
    <row r="22" spans="2:11" ht="12.75">
      <c r="B22" s="332"/>
      <c r="C22" s="332"/>
      <c r="D22" s="332"/>
      <c r="E22" s="332"/>
      <c r="F22" s="332"/>
      <c r="G22" s="332"/>
      <c r="H22" s="332"/>
      <c r="I22" s="332"/>
      <c r="J22" s="332"/>
      <c r="K22" s="332"/>
    </row>
    <row r="23" spans="2:11" ht="12.75">
      <c r="B23" s="332"/>
      <c r="C23" s="332"/>
      <c r="D23" s="332"/>
      <c r="E23" s="332"/>
      <c r="F23" s="332"/>
      <c r="G23" s="332"/>
      <c r="H23" s="332"/>
      <c r="I23" s="332"/>
      <c r="J23" s="332"/>
      <c r="K23" s="332"/>
    </row>
    <row r="25" spans="7:8" ht="12.75" hidden="1">
      <c r="G25" t="s">
        <v>23</v>
      </c>
      <c r="H25" t="s">
        <v>24</v>
      </c>
    </row>
    <row r="26" spans="7:8" ht="12.75" hidden="1">
      <c r="G26">
        <v>27</v>
      </c>
      <c r="H26">
        <v>25</v>
      </c>
    </row>
  </sheetData>
  <sheetProtection/>
  <mergeCells count="1">
    <mergeCell ref="B9:K9"/>
  </mergeCells>
  <conditionalFormatting sqref="C16 E12:G12 E16:F16">
    <cfRule type="expression" priority="7" dxfId="0" stopIfTrue="1">
      <formula>$K12=1</formula>
    </cfRule>
  </conditionalFormatting>
  <conditionalFormatting sqref="C12">
    <cfRule type="expression" priority="6" dxfId="0" stopIfTrue="1">
      <formula>$K12=1</formula>
    </cfRule>
  </conditionalFormatting>
  <conditionalFormatting sqref="G13">
    <cfRule type="expression" priority="5" dxfId="0" stopIfTrue="1">
      <formula>$K13=1</formula>
    </cfRule>
  </conditionalFormatting>
  <conditionalFormatting sqref="G14">
    <cfRule type="expression" priority="4" dxfId="0" stopIfTrue="1">
      <formula>$K14=1</formula>
    </cfRule>
  </conditionalFormatting>
  <conditionalFormatting sqref="G15">
    <cfRule type="expression" priority="3" dxfId="0" stopIfTrue="1">
      <formula>$K15=1</formula>
    </cfRule>
  </conditionalFormatting>
  <conditionalFormatting sqref="G16">
    <cfRule type="expression" priority="2" dxfId="0" stopIfTrue="1">
      <formula>$K16=1</formula>
    </cfRule>
  </conditionalFormatting>
  <conditionalFormatting sqref="E13">
    <cfRule type="expression" priority="1" dxfId="0" stopIfTrue="1">
      <formula>$K13=1</formula>
    </cfRule>
  </conditionalFormatting>
  <conditionalFormatting sqref="C13:C15">
    <cfRule type="expression" priority="8" dxfId="0" stopIfTrue="1">
      <formula>'COMP.15'!#REF!=1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6"/>
  <sheetViews>
    <sheetView view="pageBreakPreview" zoomScale="85" zoomScaleNormal="85" zoomScaleSheetLayoutView="85" zoomScalePageLayoutView="0" workbookViewId="0" topLeftCell="A1">
      <selection activeCell="B8" sqref="B8:K23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75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1" ht="12.75">
      <c r="B12" s="339"/>
      <c r="C12" s="340" t="s">
        <v>17</v>
      </c>
      <c r="D12" s="339" t="s">
        <v>57</v>
      </c>
      <c r="E12" s="340" t="s">
        <v>22</v>
      </c>
      <c r="F12" s="340">
        <v>43.12</v>
      </c>
      <c r="G12" s="341">
        <f>4.35*0.25</f>
        <v>1.0875</v>
      </c>
      <c r="H12" s="342">
        <f>4.35*0.75</f>
        <v>3.2624999999999997</v>
      </c>
      <c r="I12" s="342">
        <f>F12*G12</f>
        <v>46.892999999999994</v>
      </c>
      <c r="J12" s="342">
        <f>F12*H12</f>
        <v>140.67899999999997</v>
      </c>
      <c r="K12" s="343">
        <f>I12+J12</f>
        <v>187.57199999999997</v>
      </c>
    </row>
    <row r="13" spans="2:11" ht="36.75" customHeight="1">
      <c r="B13" s="339"/>
      <c r="C13" s="344" t="s">
        <v>17</v>
      </c>
      <c r="D13" s="339" t="s">
        <v>58</v>
      </c>
      <c r="E13" s="340" t="s">
        <v>22</v>
      </c>
      <c r="F13" s="345">
        <v>23.04</v>
      </c>
      <c r="G13" s="341">
        <f>4.35*0.25</f>
        <v>1.0875</v>
      </c>
      <c r="H13" s="342">
        <f>4.35*0.75</f>
        <v>3.2624999999999997</v>
      </c>
      <c r="I13" s="342">
        <f>F13*G13</f>
        <v>25.055999999999997</v>
      </c>
      <c r="J13" s="342">
        <f>F13*H13</f>
        <v>75.16799999999999</v>
      </c>
      <c r="K13" s="343">
        <f>I13+J13</f>
        <v>100.22399999999999</v>
      </c>
    </row>
    <row r="14" spans="2:11" ht="47.25" customHeight="1">
      <c r="B14" s="339" t="s">
        <v>36</v>
      </c>
      <c r="C14" s="344" t="s">
        <v>17</v>
      </c>
      <c r="D14" s="339" t="s">
        <v>37</v>
      </c>
      <c r="E14" s="365" t="s">
        <v>25</v>
      </c>
      <c r="F14" s="365">
        <v>4</v>
      </c>
      <c r="G14" s="341">
        <f>15.69*0.25</f>
        <v>3.9225</v>
      </c>
      <c r="H14" s="342">
        <f>15.69*0.75</f>
        <v>11.7675</v>
      </c>
      <c r="I14" s="342">
        <f>F14*G14</f>
        <v>15.69</v>
      </c>
      <c r="J14" s="342">
        <f>F14*H14</f>
        <v>47.07</v>
      </c>
      <c r="K14" s="343">
        <f>I14+J14</f>
        <v>62.76</v>
      </c>
    </row>
    <row r="15" spans="2:11" ht="22.5">
      <c r="B15" s="339" t="s">
        <v>39</v>
      </c>
      <c r="C15" s="344" t="s">
        <v>17</v>
      </c>
      <c r="D15" s="339" t="s">
        <v>40</v>
      </c>
      <c r="E15" s="365" t="s">
        <v>19</v>
      </c>
      <c r="F15" s="365">
        <f>(7.7*(2*(0.05+0.15+0.05)))+(6.92*(2*(0.04+0.14+0.04)))</f>
        <v>6.8948</v>
      </c>
      <c r="G15" s="341">
        <f>16.95*0.25</f>
        <v>4.2375</v>
      </c>
      <c r="H15" s="342">
        <f>16.95*0.75</f>
        <v>12.712499999999999</v>
      </c>
      <c r="I15" s="342">
        <f>F15*G15</f>
        <v>29.216715</v>
      </c>
      <c r="J15" s="342">
        <f>F15*H15</f>
        <v>87.650145</v>
      </c>
      <c r="K15" s="343">
        <f>I15+J15</f>
        <v>116.86686</v>
      </c>
    </row>
    <row r="16" spans="2:11" ht="22.5">
      <c r="B16" s="339" t="s">
        <v>41</v>
      </c>
      <c r="C16" s="340" t="s">
        <v>17</v>
      </c>
      <c r="D16" s="339" t="s">
        <v>42</v>
      </c>
      <c r="E16" s="340" t="s">
        <v>19</v>
      </c>
      <c r="F16" s="340">
        <f>(7.7*(2*(0.05+0.15+0.05)))+(6.92*(2*(0.04+0.14+0.04)))</f>
        <v>6.8948</v>
      </c>
      <c r="G16" s="341">
        <f>22.68*0.25</f>
        <v>5.67</v>
      </c>
      <c r="H16" s="342">
        <f>22.68*0.75</f>
        <v>17.009999999999998</v>
      </c>
      <c r="I16" s="342">
        <f>F16*G16</f>
        <v>39.093516</v>
      </c>
      <c r="J16" s="342">
        <f>F16*H16</f>
        <v>117.28054799999998</v>
      </c>
      <c r="K16" s="343">
        <f>I16+J16</f>
        <v>156.37406399999998</v>
      </c>
    </row>
    <row r="17" spans="2:11" ht="12.75">
      <c r="B17" s="346"/>
      <c r="C17" s="347"/>
      <c r="D17" s="348" t="s">
        <v>6</v>
      </c>
      <c r="E17" s="349"/>
      <c r="F17" s="349"/>
      <c r="G17" s="342"/>
      <c r="H17" s="342"/>
      <c r="I17" s="342"/>
      <c r="J17" s="342"/>
      <c r="K17" s="343">
        <f>SUM(K12:K16)</f>
        <v>623.7969239999999</v>
      </c>
    </row>
    <row r="18" spans="2:11" ht="12.75">
      <c r="B18" s="350"/>
      <c r="C18" s="351"/>
      <c r="D18" s="351"/>
      <c r="E18" s="351"/>
      <c r="F18" s="351"/>
      <c r="G18" s="352"/>
      <c r="H18" s="352"/>
      <c r="I18" s="352"/>
      <c r="J18" s="352"/>
      <c r="K18" s="353"/>
    </row>
    <row r="19" spans="2:11" ht="12.75">
      <c r="B19" s="350"/>
      <c r="C19" s="351"/>
      <c r="D19" s="351" t="str">
        <f>'COMP.6'!D19</f>
        <v>Augusto Pestana, 22 de janeiro de 2018.</v>
      </c>
      <c r="E19" s="351"/>
      <c r="F19" s="351"/>
      <c r="G19" s="352"/>
      <c r="H19" s="352"/>
      <c r="I19" s="354" t="s">
        <v>44</v>
      </c>
      <c r="J19" s="354"/>
      <c r="K19" s="355">
        <f>SUM(I12:I16)</f>
        <v>155.94923099999997</v>
      </c>
    </row>
    <row r="20" spans="2:11" ht="13.5" thickBot="1">
      <c r="B20" s="356"/>
      <c r="C20" s="357"/>
      <c r="D20" s="358"/>
      <c r="E20" s="358"/>
      <c r="F20" s="358"/>
      <c r="G20" s="359"/>
      <c r="H20" s="359"/>
      <c r="I20" s="360" t="s">
        <v>26</v>
      </c>
      <c r="J20" s="360"/>
      <c r="K20" s="361">
        <f>SUM(J12:J16)</f>
        <v>467.84769299999994</v>
      </c>
    </row>
    <row r="21" spans="2:11" ht="12.75">
      <c r="B21" s="332"/>
      <c r="C21" s="332"/>
      <c r="D21" s="362"/>
      <c r="E21" s="362"/>
      <c r="F21" s="362"/>
      <c r="G21" s="363"/>
      <c r="H21" s="363"/>
      <c r="I21" s="364" t="s">
        <v>6</v>
      </c>
      <c r="J21" s="364"/>
      <c r="K21" s="364">
        <f>SUM(K19:K20)</f>
        <v>623.7969239999999</v>
      </c>
    </row>
    <row r="22" spans="2:11" ht="12.75">
      <c r="B22" s="332"/>
      <c r="C22" s="332"/>
      <c r="D22" s="332"/>
      <c r="E22" s="332"/>
      <c r="F22" s="332"/>
      <c r="G22" s="332"/>
      <c r="H22" s="332"/>
      <c r="I22" s="332"/>
      <c r="J22" s="332"/>
      <c r="K22" s="332"/>
    </row>
    <row r="23" spans="2:11" ht="12.75">
      <c r="B23" s="332"/>
      <c r="C23" s="332"/>
      <c r="D23" s="332"/>
      <c r="E23" s="332"/>
      <c r="F23" s="332"/>
      <c r="G23" s="332"/>
      <c r="H23" s="332"/>
      <c r="I23" s="332"/>
      <c r="J23" s="332"/>
      <c r="K23" s="332"/>
    </row>
    <row r="25" spans="7:8" ht="12.75" hidden="1">
      <c r="G25" t="s">
        <v>23</v>
      </c>
      <c r="H25" t="s">
        <v>24</v>
      </c>
    </row>
    <row r="26" spans="7:8" ht="12.75" hidden="1">
      <c r="G26">
        <v>27</v>
      </c>
      <c r="H26">
        <v>25</v>
      </c>
    </row>
  </sheetData>
  <sheetProtection/>
  <mergeCells count="1">
    <mergeCell ref="B9:K9"/>
  </mergeCells>
  <conditionalFormatting sqref="C16 E12:G12 E16:F16">
    <cfRule type="expression" priority="7" dxfId="0" stopIfTrue="1">
      <formula>$K12=1</formula>
    </cfRule>
  </conditionalFormatting>
  <conditionalFormatting sqref="C12">
    <cfRule type="expression" priority="6" dxfId="0" stopIfTrue="1">
      <formula>$K12=1</formula>
    </cfRule>
  </conditionalFormatting>
  <conditionalFormatting sqref="G13">
    <cfRule type="expression" priority="5" dxfId="0" stopIfTrue="1">
      <formula>$K13=1</formula>
    </cfRule>
  </conditionalFormatting>
  <conditionalFormatting sqref="G14">
    <cfRule type="expression" priority="4" dxfId="0" stopIfTrue="1">
      <formula>$K14=1</formula>
    </cfRule>
  </conditionalFormatting>
  <conditionalFormatting sqref="G15">
    <cfRule type="expression" priority="3" dxfId="0" stopIfTrue="1">
      <formula>$K15=1</formula>
    </cfRule>
  </conditionalFormatting>
  <conditionalFormatting sqref="G16">
    <cfRule type="expression" priority="2" dxfId="0" stopIfTrue="1">
      <formula>$K16=1</formula>
    </cfRule>
  </conditionalFormatting>
  <conditionalFormatting sqref="E13">
    <cfRule type="expression" priority="1" dxfId="0" stopIfTrue="1">
      <formula>$K13=1</formula>
    </cfRule>
  </conditionalFormatting>
  <conditionalFormatting sqref="C13:C15">
    <cfRule type="expression" priority="8" dxfId="0" stopIfTrue="1">
      <formula>'COMP.16'!#REF!=1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6"/>
  <sheetViews>
    <sheetView view="pageBreakPreview" zoomScale="85" zoomScaleNormal="85" zoomScaleSheetLayoutView="85" zoomScalePageLayoutView="0" workbookViewId="0" topLeftCell="A1">
      <selection activeCell="B8" sqref="B8:K23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86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1" ht="22.5">
      <c r="B12" s="348">
        <v>1327</v>
      </c>
      <c r="C12" s="340" t="s">
        <v>51</v>
      </c>
      <c r="D12" s="339" t="s">
        <v>35</v>
      </c>
      <c r="E12" s="340" t="s">
        <v>22</v>
      </c>
      <c r="F12" s="340">
        <f>((0.35*0.6)*99.59)</f>
        <v>20.9139</v>
      </c>
      <c r="G12" s="341">
        <f>4.3*0.25</f>
        <v>1.075</v>
      </c>
      <c r="H12" s="342">
        <f>4.3*0.75</f>
        <v>3.2249999999999996</v>
      </c>
      <c r="I12" s="342">
        <f>F12*G12</f>
        <v>22.4824425</v>
      </c>
      <c r="J12" s="342">
        <f>F12*H12</f>
        <v>67.4473275</v>
      </c>
      <c r="K12" s="343">
        <f>I12+J12</f>
        <v>89.92977</v>
      </c>
    </row>
    <row r="13" spans="2:11" ht="48.75" customHeight="1">
      <c r="B13" s="348" t="s">
        <v>36</v>
      </c>
      <c r="C13" s="340" t="s">
        <v>17</v>
      </c>
      <c r="D13" s="339" t="s">
        <v>37</v>
      </c>
      <c r="E13" s="365" t="s">
        <v>25</v>
      </c>
      <c r="F13" s="365">
        <v>2</v>
      </c>
      <c r="G13" s="341">
        <f>14.45*0.25</f>
        <v>3.6125</v>
      </c>
      <c r="H13" s="342">
        <f>14.45*0.75</f>
        <v>10.837499999999999</v>
      </c>
      <c r="I13" s="342">
        <f>F13*G13</f>
        <v>7.225</v>
      </c>
      <c r="J13" s="342">
        <f>F13*H13</f>
        <v>21.674999999999997</v>
      </c>
      <c r="K13" s="343">
        <f>I13+J13</f>
        <v>28.9</v>
      </c>
    </row>
    <row r="14" spans="2:11" ht="22.5">
      <c r="B14" s="348">
        <v>11977</v>
      </c>
      <c r="C14" s="340" t="s">
        <v>17</v>
      </c>
      <c r="D14" s="339" t="s">
        <v>38</v>
      </c>
      <c r="E14" s="365" t="s">
        <v>1</v>
      </c>
      <c r="F14" s="365">
        <v>6</v>
      </c>
      <c r="G14" s="341">
        <f>3.56*0.25</f>
        <v>0.89</v>
      </c>
      <c r="H14" s="342">
        <f>3.56*0.75</f>
        <v>2.67</v>
      </c>
      <c r="I14" s="342">
        <f>F14*G14</f>
        <v>5.34</v>
      </c>
      <c r="J14" s="342">
        <f>F14*H14</f>
        <v>16.02</v>
      </c>
      <c r="K14" s="343">
        <f>I14+J14</f>
        <v>21.36</v>
      </c>
    </row>
    <row r="15" spans="2:11" ht="22.5">
      <c r="B15" s="348" t="s">
        <v>39</v>
      </c>
      <c r="C15" s="340" t="s">
        <v>17</v>
      </c>
      <c r="D15" s="339" t="s">
        <v>40</v>
      </c>
      <c r="E15" s="365" t="s">
        <v>19</v>
      </c>
      <c r="F15" s="365">
        <f>2*((0.35*0.6))</f>
        <v>0.42</v>
      </c>
      <c r="G15" s="341">
        <f>17.05*0.25</f>
        <v>4.2625</v>
      </c>
      <c r="H15" s="342">
        <f>17.05*0.75</f>
        <v>12.787500000000001</v>
      </c>
      <c r="I15" s="342">
        <f>F15*G15</f>
        <v>1.7902500000000001</v>
      </c>
      <c r="J15" s="342">
        <f>F15*H15</f>
        <v>5.37075</v>
      </c>
      <c r="K15" s="343">
        <f>I15+J15</f>
        <v>7.1610000000000005</v>
      </c>
    </row>
    <row r="16" spans="2:11" ht="22.5">
      <c r="B16" s="348" t="s">
        <v>41</v>
      </c>
      <c r="C16" s="340" t="s">
        <v>17</v>
      </c>
      <c r="D16" s="339" t="s">
        <v>42</v>
      </c>
      <c r="E16" s="340" t="s">
        <v>19</v>
      </c>
      <c r="F16" s="365">
        <f>2*((0.35*0.6))</f>
        <v>0.42</v>
      </c>
      <c r="G16" s="341">
        <f>22.81*0.25</f>
        <v>5.7025</v>
      </c>
      <c r="H16" s="342">
        <f>22.81*0.75</f>
        <v>17.107499999999998</v>
      </c>
      <c r="I16" s="342">
        <f>F16*G16</f>
        <v>2.39505</v>
      </c>
      <c r="J16" s="342">
        <f>F16*H16</f>
        <v>7.185149999999999</v>
      </c>
      <c r="K16" s="343">
        <f>I16+J16</f>
        <v>9.5802</v>
      </c>
    </row>
    <row r="17" spans="2:11" ht="12.75">
      <c r="B17" s="346"/>
      <c r="C17" s="347"/>
      <c r="D17" s="348" t="s">
        <v>6</v>
      </c>
      <c r="E17" s="349"/>
      <c r="F17" s="349"/>
      <c r="G17" s="342"/>
      <c r="H17" s="342"/>
      <c r="I17" s="342"/>
      <c r="J17" s="342"/>
      <c r="K17" s="343">
        <f>SUM(K12:K16)</f>
        <v>156.93097</v>
      </c>
    </row>
    <row r="18" spans="2:11" ht="12.75">
      <c r="B18" s="350"/>
      <c r="C18" s="351"/>
      <c r="D18" s="351"/>
      <c r="E18" s="351"/>
      <c r="F18" s="351"/>
      <c r="G18" s="352"/>
      <c r="H18" s="352"/>
      <c r="I18" s="352"/>
      <c r="J18" s="352"/>
      <c r="K18" s="353"/>
    </row>
    <row r="19" spans="2:11" ht="12.75">
      <c r="B19" s="350"/>
      <c r="C19" s="351"/>
      <c r="D19" s="351" t="str">
        <f>'COMP.6'!D19</f>
        <v>Augusto Pestana, 22 de janeiro de 2018.</v>
      </c>
      <c r="E19" s="351"/>
      <c r="F19" s="351"/>
      <c r="G19" s="352"/>
      <c r="H19" s="352"/>
      <c r="I19" s="354" t="s">
        <v>44</v>
      </c>
      <c r="J19" s="354"/>
      <c r="K19" s="355">
        <f>SUM(I12:I16)</f>
        <v>39.2327425</v>
      </c>
    </row>
    <row r="20" spans="2:11" ht="13.5" thickBot="1">
      <c r="B20" s="356"/>
      <c r="C20" s="357"/>
      <c r="D20" s="358"/>
      <c r="E20" s="358"/>
      <c r="F20" s="358"/>
      <c r="G20" s="359"/>
      <c r="H20" s="359"/>
      <c r="I20" s="360" t="s">
        <v>26</v>
      </c>
      <c r="J20" s="360"/>
      <c r="K20" s="361">
        <f>SUM(J12:J16)</f>
        <v>117.69822749999999</v>
      </c>
    </row>
    <row r="21" spans="2:11" ht="12.75">
      <c r="B21" s="332"/>
      <c r="C21" s="332"/>
      <c r="D21" s="362"/>
      <c r="E21" s="362"/>
      <c r="F21" s="362"/>
      <c r="G21" s="363"/>
      <c r="H21" s="363"/>
      <c r="I21" s="364" t="s">
        <v>6</v>
      </c>
      <c r="J21" s="364"/>
      <c r="K21" s="364">
        <f>SUM(K19:K20)</f>
        <v>156.93097</v>
      </c>
    </row>
    <row r="22" spans="2:11" ht="12.75">
      <c r="B22" s="332"/>
      <c r="C22" s="332"/>
      <c r="D22" s="332"/>
      <c r="E22" s="332"/>
      <c r="F22" s="332"/>
      <c r="G22" s="332"/>
      <c r="H22" s="332"/>
      <c r="I22" s="332"/>
      <c r="J22" s="332"/>
      <c r="K22" s="332"/>
    </row>
    <row r="23" spans="2:11" ht="12.75">
      <c r="B23" s="332"/>
      <c r="C23" s="332"/>
      <c r="D23" s="332"/>
      <c r="E23" s="332"/>
      <c r="F23" s="332"/>
      <c r="G23" s="332"/>
      <c r="H23" s="332"/>
      <c r="I23" s="332"/>
      <c r="J23" s="332"/>
      <c r="K23" s="332"/>
    </row>
    <row r="25" spans="7:8" ht="12.75" hidden="1">
      <c r="G25" t="s">
        <v>23</v>
      </c>
      <c r="H25" t="s">
        <v>24</v>
      </c>
    </row>
    <row r="26" spans="7:8" ht="12.75" hidden="1">
      <c r="G26">
        <v>27</v>
      </c>
      <c r="H26">
        <v>25</v>
      </c>
    </row>
  </sheetData>
  <sheetProtection/>
  <mergeCells count="1">
    <mergeCell ref="B9:K9"/>
  </mergeCells>
  <conditionalFormatting sqref="C16 E12:G12 E16">
    <cfRule type="expression" priority="9" dxfId="0" stopIfTrue="1">
      <formula>$K12=1</formula>
    </cfRule>
  </conditionalFormatting>
  <conditionalFormatting sqref="C12">
    <cfRule type="expression" priority="8" dxfId="0" stopIfTrue="1">
      <formula>$K12=1</formula>
    </cfRule>
  </conditionalFormatting>
  <conditionalFormatting sqref="G13">
    <cfRule type="expression" priority="7" dxfId="0" stopIfTrue="1">
      <formula>$K13=1</formula>
    </cfRule>
  </conditionalFormatting>
  <conditionalFormatting sqref="G14">
    <cfRule type="expression" priority="6" dxfId="0" stopIfTrue="1">
      <formula>$K14=1</formula>
    </cfRule>
  </conditionalFormatting>
  <conditionalFormatting sqref="G15">
    <cfRule type="expression" priority="5" dxfId="0" stopIfTrue="1">
      <formula>$K15=1</formula>
    </cfRule>
  </conditionalFormatting>
  <conditionalFormatting sqref="G16">
    <cfRule type="expression" priority="4" dxfId="0" stopIfTrue="1">
      <formula>$K16=1</formula>
    </cfRule>
  </conditionalFormatting>
  <conditionalFormatting sqref="C13">
    <cfRule type="expression" priority="3" dxfId="0" stopIfTrue="1">
      <formula>$K13=1</formula>
    </cfRule>
  </conditionalFormatting>
  <conditionalFormatting sqref="C14">
    <cfRule type="expression" priority="2" dxfId="0" stopIfTrue="1">
      <formula>$K14=1</formula>
    </cfRule>
  </conditionalFormatting>
  <conditionalFormatting sqref="C15">
    <cfRule type="expression" priority="1" dxfId="0" stopIfTrue="1">
      <formula>$K15=1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39"/>
  <sheetViews>
    <sheetView view="pageBreakPreview" zoomScale="60" zoomScaleNormal="85" workbookViewId="0" topLeftCell="A1">
      <selection activeCell="B6" sqref="B6:Q39"/>
    </sheetView>
  </sheetViews>
  <sheetFormatPr defaultColWidth="9.140625" defaultRowHeight="12.75"/>
  <cols>
    <col min="1" max="1" width="3.8515625" style="0" customWidth="1"/>
    <col min="2" max="2" width="9.00390625" style="0" customWidth="1"/>
    <col min="3" max="3" width="32.421875" style="0" customWidth="1"/>
    <col min="4" max="4" width="7.28125" style="0" customWidth="1"/>
    <col min="5" max="5" width="12.8515625" style="0" customWidth="1"/>
    <col min="6" max="6" width="5.8515625" style="0" customWidth="1"/>
    <col min="7" max="7" width="11.8515625" style="0" customWidth="1"/>
    <col min="8" max="8" width="5.8515625" style="0" customWidth="1"/>
    <col min="9" max="9" width="9.7109375" style="0" customWidth="1"/>
    <col min="10" max="10" width="5.8515625" style="0" customWidth="1"/>
    <col min="11" max="11" width="10.8515625" style="0" customWidth="1"/>
    <col min="12" max="12" width="5.8515625" style="0" customWidth="1"/>
    <col min="13" max="13" width="11.8515625" style="0" customWidth="1"/>
    <col min="14" max="14" width="5.8515625" style="0" customWidth="1"/>
    <col min="15" max="15" width="12.00390625" style="0" customWidth="1"/>
    <col min="16" max="16" width="5.8515625" style="0" customWidth="1"/>
    <col min="17" max="17" width="13.7109375" style="0" customWidth="1"/>
    <col min="18" max="18" width="2.421875" style="0" customWidth="1"/>
    <col min="19" max="19" width="11.57421875" style="0" customWidth="1"/>
    <col min="20" max="20" width="15.140625" style="0" customWidth="1"/>
  </cols>
  <sheetData>
    <row r="1" spans="2:17" ht="16.5" customHeight="1">
      <c r="B1" s="103" t="s">
        <v>28</v>
      </c>
      <c r="C1" s="98"/>
      <c r="D1" s="101"/>
      <c r="E1" s="101"/>
      <c r="F1" s="100"/>
      <c r="G1" s="100"/>
      <c r="H1" s="100"/>
      <c r="I1" s="100"/>
      <c r="J1" s="100"/>
      <c r="K1" s="102"/>
      <c r="L1" s="102"/>
      <c r="M1" s="102"/>
      <c r="N1" s="96"/>
      <c r="O1" s="96"/>
      <c r="P1" s="96"/>
      <c r="Q1" s="96"/>
    </row>
    <row r="2" spans="2:17" ht="15" customHeight="1">
      <c r="B2" s="20" t="s">
        <v>29</v>
      </c>
      <c r="C2" s="98"/>
      <c r="D2" s="101"/>
      <c r="E2" s="101"/>
      <c r="F2" s="100"/>
      <c r="G2" s="100"/>
      <c r="H2" s="100"/>
      <c r="I2" s="100"/>
      <c r="J2" s="100"/>
      <c r="K2" s="99"/>
      <c r="L2" s="99"/>
      <c r="M2" s="99"/>
      <c r="N2" s="96"/>
      <c r="O2" s="96"/>
      <c r="P2" s="96"/>
      <c r="Q2" s="96"/>
    </row>
    <row r="3" spans="2:17" ht="15">
      <c r="B3" s="20" t="s">
        <v>30</v>
      </c>
      <c r="C3" s="98"/>
      <c r="D3" s="98"/>
      <c r="E3" s="98"/>
      <c r="F3" s="6"/>
      <c r="G3" s="6"/>
      <c r="H3" s="6"/>
      <c r="I3" s="6"/>
      <c r="J3" s="6"/>
      <c r="K3" s="97"/>
      <c r="L3" s="97"/>
      <c r="M3" s="97"/>
      <c r="N3" s="96"/>
      <c r="O3" s="96"/>
      <c r="P3" s="96"/>
      <c r="Q3" s="96"/>
    </row>
    <row r="4" spans="2:17" ht="15">
      <c r="B4" s="20" t="s">
        <v>31</v>
      </c>
      <c r="C4" s="98"/>
      <c r="D4" s="98"/>
      <c r="E4" s="98"/>
      <c r="F4" s="6"/>
      <c r="G4" s="6"/>
      <c r="H4" s="6"/>
      <c r="I4" s="6"/>
      <c r="J4" s="6"/>
      <c r="K4" s="97"/>
      <c r="L4" s="97"/>
      <c r="M4" s="97"/>
      <c r="N4" s="96"/>
      <c r="O4" s="96"/>
      <c r="P4" s="96"/>
      <c r="Q4" s="96"/>
    </row>
    <row r="5" spans="2:17" ht="12.75">
      <c r="B5" s="386"/>
      <c r="C5" s="386"/>
      <c r="D5" s="386"/>
      <c r="E5" s="386"/>
      <c r="F5" s="386"/>
      <c r="G5" s="386"/>
      <c r="H5" s="386"/>
      <c r="I5" s="386"/>
      <c r="J5" s="386"/>
      <c r="K5" s="99"/>
      <c r="L5" s="99"/>
      <c r="M5" s="99"/>
      <c r="N5" s="256"/>
      <c r="O5" s="256"/>
      <c r="P5" s="256"/>
      <c r="Q5" s="256"/>
    </row>
    <row r="6" spans="2:17" ht="13.5" thickBot="1">
      <c r="B6" s="255"/>
      <c r="C6" s="255"/>
      <c r="D6" s="255"/>
      <c r="E6" s="255"/>
      <c r="F6" s="255"/>
      <c r="G6" s="255"/>
      <c r="H6" s="255"/>
      <c r="I6" s="255"/>
      <c r="J6" s="255"/>
      <c r="K6" s="99"/>
      <c r="L6" s="99"/>
      <c r="M6" s="99"/>
      <c r="N6" s="257"/>
      <c r="O6" s="257"/>
      <c r="P6" s="257"/>
      <c r="Q6" s="257"/>
    </row>
    <row r="7" spans="2:17" ht="13.5" thickBot="1">
      <c r="B7" s="373" t="s">
        <v>757</v>
      </c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5"/>
    </row>
    <row r="8" spans="2:17" ht="13.5" thickBot="1">
      <c r="B8" s="383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5"/>
    </row>
    <row r="9" spans="2:17" ht="12.75">
      <c r="B9" s="258"/>
      <c r="C9" s="259"/>
      <c r="D9" s="259"/>
      <c r="E9" s="259" t="s">
        <v>756</v>
      </c>
      <c r="F9" s="389" t="s">
        <v>755</v>
      </c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1"/>
    </row>
    <row r="10" spans="2:17" ht="12.75">
      <c r="B10" s="260" t="s">
        <v>0</v>
      </c>
      <c r="C10" s="261" t="s">
        <v>746</v>
      </c>
      <c r="D10" s="261" t="s">
        <v>754</v>
      </c>
      <c r="E10" s="261" t="s">
        <v>753</v>
      </c>
      <c r="F10" s="387" t="s">
        <v>752</v>
      </c>
      <c r="G10" s="387"/>
      <c r="H10" s="387" t="s">
        <v>751</v>
      </c>
      <c r="I10" s="387"/>
      <c r="J10" s="387" t="s">
        <v>750</v>
      </c>
      <c r="K10" s="387"/>
      <c r="L10" s="387" t="s">
        <v>749</v>
      </c>
      <c r="M10" s="387"/>
      <c r="N10" s="387" t="s">
        <v>748</v>
      </c>
      <c r="O10" s="387"/>
      <c r="P10" s="387" t="s">
        <v>747</v>
      </c>
      <c r="Q10" s="388"/>
    </row>
    <row r="11" spans="2:17" ht="12.75">
      <c r="B11" s="260"/>
      <c r="C11" s="261"/>
      <c r="D11" s="261"/>
      <c r="E11" s="261" t="s">
        <v>746</v>
      </c>
      <c r="F11" s="262" t="s">
        <v>103</v>
      </c>
      <c r="G11" s="262" t="s">
        <v>744</v>
      </c>
      <c r="H11" s="262" t="s">
        <v>745</v>
      </c>
      <c r="I11" s="262" t="s">
        <v>744</v>
      </c>
      <c r="J11" s="262" t="s">
        <v>103</v>
      </c>
      <c r="K11" s="262" t="s">
        <v>744</v>
      </c>
      <c r="L11" s="262" t="s">
        <v>103</v>
      </c>
      <c r="M11" s="262" t="s">
        <v>744</v>
      </c>
      <c r="N11" s="262" t="s">
        <v>103</v>
      </c>
      <c r="O11" s="262" t="s">
        <v>744</v>
      </c>
      <c r="P11" s="262" t="s">
        <v>103</v>
      </c>
      <c r="Q11" s="263" t="s">
        <v>744</v>
      </c>
    </row>
    <row r="12" spans="2:20" ht="12.75">
      <c r="B12" s="264">
        <v>1</v>
      </c>
      <c r="C12" s="265" t="str">
        <f>'ORÇAMENTO GERAL'!E10</f>
        <v>MOVIMENTO DE TERRA</v>
      </c>
      <c r="D12" s="266">
        <f aca="true" t="shared" si="0" ref="D12:D29">E12/$E$30*100</f>
        <v>0.33023459133362193</v>
      </c>
      <c r="E12" s="267">
        <f>TRUNC('ORÇAMENTO GERAL'!Q12,2)</f>
        <v>3275.25</v>
      </c>
      <c r="F12" s="268">
        <v>100</v>
      </c>
      <c r="G12" s="267">
        <f aca="true" t="shared" si="1" ref="G12:G29">TRUNC(E12*F12/100,10)</f>
        <v>3275.25</v>
      </c>
      <c r="H12" s="266"/>
      <c r="I12" s="267">
        <f aca="true" t="shared" si="2" ref="I12:I29">TRUNC(H12/100*E12,10)</f>
        <v>0</v>
      </c>
      <c r="J12" s="269"/>
      <c r="K12" s="270">
        <f aca="true" t="shared" si="3" ref="K12:K29">TRUNC(J12/100*E12,10)</f>
        <v>0</v>
      </c>
      <c r="L12" s="271"/>
      <c r="M12" s="267">
        <f aca="true" t="shared" si="4" ref="M12:M29">TRUNC(E12*L12/100,10)</f>
        <v>0</v>
      </c>
      <c r="N12" s="269"/>
      <c r="O12" s="270">
        <f aca="true" t="shared" si="5" ref="O12:O29">TRUNC(N12/100*E12,10)</f>
        <v>0</v>
      </c>
      <c r="P12" s="271"/>
      <c r="Q12" s="272">
        <f aca="true" t="shared" si="6" ref="Q12:Q29">TRUNC(P12*E12/100,10)</f>
        <v>0</v>
      </c>
      <c r="S12" s="72">
        <f aca="true" t="shared" si="7" ref="S12:S29">G12+I12+K12+M12+O12+Q12</f>
        <v>3275.25</v>
      </c>
      <c r="T12" s="72">
        <f aca="true" t="shared" si="8" ref="T12:T30">E12-S12</f>
        <v>0</v>
      </c>
    </row>
    <row r="13" spans="2:20" ht="12.75">
      <c r="B13" s="264">
        <v>2</v>
      </c>
      <c r="C13" s="265" t="str">
        <f>'ORÇAMENTO GERAL'!E13</f>
        <v>SERVIÇOS INICIAIS</v>
      </c>
      <c r="D13" s="266">
        <f t="shared" si="0"/>
        <v>3.342206975343038</v>
      </c>
      <c r="E13" s="267">
        <f>TRUNC('ORÇAMENTO GERAL'!Q17,2)</f>
        <v>33147.84</v>
      </c>
      <c r="F13" s="268">
        <v>100</v>
      </c>
      <c r="G13" s="267">
        <f t="shared" si="1"/>
        <v>33147.84</v>
      </c>
      <c r="H13" s="269"/>
      <c r="I13" s="267">
        <f t="shared" si="2"/>
        <v>0</v>
      </c>
      <c r="J13" s="269"/>
      <c r="K13" s="270">
        <f t="shared" si="3"/>
        <v>0</v>
      </c>
      <c r="L13" s="271"/>
      <c r="M13" s="267">
        <f t="shared" si="4"/>
        <v>0</v>
      </c>
      <c r="N13" s="269"/>
      <c r="O13" s="270">
        <f t="shared" si="5"/>
        <v>0</v>
      </c>
      <c r="P13" s="271"/>
      <c r="Q13" s="272">
        <f t="shared" si="6"/>
        <v>0</v>
      </c>
      <c r="S13" s="72">
        <f t="shared" si="7"/>
        <v>33147.84</v>
      </c>
      <c r="T13" s="72">
        <f t="shared" si="8"/>
        <v>0</v>
      </c>
    </row>
    <row r="14" spans="2:20" ht="12.75">
      <c r="B14" s="264">
        <v>3</v>
      </c>
      <c r="C14" s="265" t="str">
        <f>'ORÇAMENTO GERAL'!E18</f>
        <v>FUNDAÇÕES</v>
      </c>
      <c r="D14" s="266">
        <f t="shared" si="0"/>
        <v>6.815824178173119</v>
      </c>
      <c r="E14" s="267">
        <f>TRUNC('ORÇAMENTO GERAL'!Q26,2)</f>
        <v>67599</v>
      </c>
      <c r="F14" s="268">
        <v>100</v>
      </c>
      <c r="G14" s="267">
        <f t="shared" si="1"/>
        <v>67599</v>
      </c>
      <c r="H14" s="269"/>
      <c r="I14" s="267">
        <f t="shared" si="2"/>
        <v>0</v>
      </c>
      <c r="J14" s="269"/>
      <c r="K14" s="270">
        <f t="shared" si="3"/>
        <v>0</v>
      </c>
      <c r="L14" s="271"/>
      <c r="M14" s="267">
        <f t="shared" si="4"/>
        <v>0</v>
      </c>
      <c r="N14" s="269"/>
      <c r="O14" s="270">
        <f t="shared" si="5"/>
        <v>0</v>
      </c>
      <c r="P14" s="271"/>
      <c r="Q14" s="272">
        <f t="shared" si="6"/>
        <v>0</v>
      </c>
      <c r="S14" s="72">
        <f t="shared" si="7"/>
        <v>67599</v>
      </c>
      <c r="T14" s="72">
        <f t="shared" si="8"/>
        <v>0</v>
      </c>
    </row>
    <row r="15" spans="2:20" ht="12.75">
      <c r="B15" s="264">
        <v>4</v>
      </c>
      <c r="C15" s="265" t="str">
        <f>'ORÇAMENTO GERAL'!E27</f>
        <v>ESTRUTURA DE CONCRETO</v>
      </c>
      <c r="D15" s="266">
        <f t="shared" si="0"/>
        <v>1.5216562657432364</v>
      </c>
      <c r="E15" s="267">
        <f>TRUNC('ORÇAMENTO GERAL'!Q33,2)</f>
        <v>15091.71</v>
      </c>
      <c r="F15" s="268"/>
      <c r="G15" s="267">
        <f t="shared" si="1"/>
        <v>0</v>
      </c>
      <c r="H15" s="269">
        <v>100</v>
      </c>
      <c r="I15" s="267">
        <f t="shared" si="2"/>
        <v>15091.71</v>
      </c>
      <c r="J15" s="269"/>
      <c r="K15" s="270">
        <f t="shared" si="3"/>
        <v>0</v>
      </c>
      <c r="L15" s="271"/>
      <c r="M15" s="267">
        <f t="shared" si="4"/>
        <v>0</v>
      </c>
      <c r="N15" s="269"/>
      <c r="O15" s="270">
        <f t="shared" si="5"/>
        <v>0</v>
      </c>
      <c r="P15" s="271"/>
      <c r="Q15" s="272">
        <f t="shared" si="6"/>
        <v>0</v>
      </c>
      <c r="S15" s="72">
        <f t="shared" si="7"/>
        <v>15091.71</v>
      </c>
      <c r="T15" s="72">
        <f t="shared" si="8"/>
        <v>0</v>
      </c>
    </row>
    <row r="16" spans="2:20" ht="12.75">
      <c r="B16" s="264">
        <v>5</v>
      </c>
      <c r="C16" s="265" t="str">
        <f>'ORÇAMENTO GERAL'!E34</f>
        <v>ALVENARIAS</v>
      </c>
      <c r="D16" s="266">
        <f t="shared" si="0"/>
        <v>3.9717534355261637</v>
      </c>
      <c r="E16" s="267">
        <f>TRUNC('ORÇAMENTO GERAL'!Q37,2)</f>
        <v>39391.65</v>
      </c>
      <c r="F16" s="268"/>
      <c r="G16" s="267">
        <f t="shared" si="1"/>
        <v>0</v>
      </c>
      <c r="H16" s="269">
        <v>100</v>
      </c>
      <c r="I16" s="267">
        <f t="shared" si="2"/>
        <v>39391.65</v>
      </c>
      <c r="J16" s="269"/>
      <c r="K16" s="270">
        <f t="shared" si="3"/>
        <v>0</v>
      </c>
      <c r="L16" s="271"/>
      <c r="M16" s="267">
        <f t="shared" si="4"/>
        <v>0</v>
      </c>
      <c r="N16" s="269"/>
      <c r="O16" s="270">
        <f t="shared" si="5"/>
        <v>0</v>
      </c>
      <c r="P16" s="271"/>
      <c r="Q16" s="272">
        <f t="shared" si="6"/>
        <v>0</v>
      </c>
      <c r="S16" s="72">
        <f t="shared" si="7"/>
        <v>39391.65</v>
      </c>
      <c r="T16" s="72">
        <f t="shared" si="8"/>
        <v>0</v>
      </c>
    </row>
    <row r="17" spans="2:20" ht="12.75">
      <c r="B17" s="264">
        <v>6</v>
      </c>
      <c r="C17" s="265" t="str">
        <f>'ORÇAMENTO GERAL'!E38</f>
        <v>FORRO</v>
      </c>
      <c r="D17" s="266">
        <f t="shared" si="0"/>
        <v>2.277996071667838</v>
      </c>
      <c r="E17" s="267">
        <f>TRUNC('ORÇAMENTO GERAL'!Q41,2)</f>
        <v>22593.05</v>
      </c>
      <c r="F17" s="268"/>
      <c r="G17" s="267">
        <f t="shared" si="1"/>
        <v>0</v>
      </c>
      <c r="H17" s="269"/>
      <c r="I17" s="267">
        <f t="shared" si="2"/>
        <v>0</v>
      </c>
      <c r="J17" s="269"/>
      <c r="K17" s="270">
        <f t="shared" si="3"/>
        <v>0</v>
      </c>
      <c r="L17" s="271">
        <v>100</v>
      </c>
      <c r="M17" s="267">
        <f t="shared" si="4"/>
        <v>22593.05</v>
      </c>
      <c r="N17" s="269"/>
      <c r="O17" s="270">
        <f t="shared" si="5"/>
        <v>0</v>
      </c>
      <c r="P17" s="271"/>
      <c r="Q17" s="272">
        <f t="shared" si="6"/>
        <v>0</v>
      </c>
      <c r="S17" s="72">
        <f t="shared" si="7"/>
        <v>22593.05</v>
      </c>
      <c r="T17" s="72">
        <f t="shared" si="8"/>
        <v>0</v>
      </c>
    </row>
    <row r="18" spans="2:20" ht="12.75">
      <c r="B18" s="264">
        <v>7</v>
      </c>
      <c r="C18" s="265" t="str">
        <f>'ORÇAMENTO GERAL'!E42</f>
        <v>COBERTURA</v>
      </c>
      <c r="D18" s="266">
        <f t="shared" si="0"/>
        <v>23.370306533623705</v>
      </c>
      <c r="E18" s="267">
        <f>TRUNC('ORÇAMENTO GERAL'!Q66,2)</f>
        <v>231785.52</v>
      </c>
      <c r="F18" s="268"/>
      <c r="G18" s="267">
        <f t="shared" si="1"/>
        <v>0</v>
      </c>
      <c r="H18" s="269">
        <v>30</v>
      </c>
      <c r="I18" s="267">
        <f t="shared" si="2"/>
        <v>69535.656</v>
      </c>
      <c r="J18" s="269">
        <v>70</v>
      </c>
      <c r="K18" s="270">
        <f t="shared" si="3"/>
        <v>162249.864</v>
      </c>
      <c r="L18" s="271"/>
      <c r="M18" s="267">
        <f t="shared" si="4"/>
        <v>0</v>
      </c>
      <c r="N18" s="269"/>
      <c r="O18" s="270">
        <f t="shared" si="5"/>
        <v>0</v>
      </c>
      <c r="P18" s="271"/>
      <c r="Q18" s="272">
        <f t="shared" si="6"/>
        <v>0</v>
      </c>
      <c r="S18" s="72">
        <f t="shared" si="7"/>
        <v>231785.52000000002</v>
      </c>
      <c r="T18" s="72">
        <f t="shared" si="8"/>
        <v>0</v>
      </c>
    </row>
    <row r="19" spans="2:20" ht="12.75">
      <c r="B19" s="264">
        <v>8</v>
      </c>
      <c r="C19" s="265" t="str">
        <f>'ORÇAMENTO GERAL'!E67</f>
        <v>PAVIMENTAÇÕES</v>
      </c>
      <c r="D19" s="266">
        <f t="shared" si="0"/>
        <v>21.79884460996701</v>
      </c>
      <c r="E19" s="267">
        <f>TRUNC('ORÇAMENTO GERAL'!Q78,2)</f>
        <v>216199.84</v>
      </c>
      <c r="F19" s="268"/>
      <c r="G19" s="267">
        <f t="shared" si="1"/>
        <v>0</v>
      </c>
      <c r="H19" s="269"/>
      <c r="I19" s="267">
        <f t="shared" si="2"/>
        <v>0</v>
      </c>
      <c r="J19" s="269"/>
      <c r="K19" s="270">
        <f t="shared" si="3"/>
        <v>0</v>
      </c>
      <c r="L19" s="271">
        <v>40</v>
      </c>
      <c r="M19" s="267">
        <f t="shared" si="4"/>
        <v>86479.936</v>
      </c>
      <c r="N19" s="269">
        <v>40</v>
      </c>
      <c r="O19" s="270">
        <f t="shared" si="5"/>
        <v>86479.936</v>
      </c>
      <c r="P19" s="271">
        <v>20</v>
      </c>
      <c r="Q19" s="272">
        <f t="shared" si="6"/>
        <v>43239.968</v>
      </c>
      <c r="S19" s="72">
        <f t="shared" si="7"/>
        <v>216199.84</v>
      </c>
      <c r="T19" s="72">
        <f t="shared" si="8"/>
        <v>0</v>
      </c>
    </row>
    <row r="20" spans="2:20" ht="12.75">
      <c r="B20" s="264">
        <v>9</v>
      </c>
      <c r="C20" s="265" t="str">
        <f>'ORÇAMENTO GERAL'!E79</f>
        <v>REVESTIMENTOS</v>
      </c>
      <c r="D20" s="266">
        <f t="shared" si="0"/>
        <v>2.339140766949862</v>
      </c>
      <c r="E20" s="267">
        <f>TRUNC('ORÇAMENTO GERAL'!Q84,2)</f>
        <v>23199.48</v>
      </c>
      <c r="F20" s="268"/>
      <c r="G20" s="267">
        <f t="shared" si="1"/>
        <v>0</v>
      </c>
      <c r="H20" s="269"/>
      <c r="I20" s="267">
        <f t="shared" si="2"/>
        <v>0</v>
      </c>
      <c r="J20" s="269"/>
      <c r="K20" s="270">
        <f t="shared" si="3"/>
        <v>0</v>
      </c>
      <c r="L20" s="271">
        <v>40</v>
      </c>
      <c r="M20" s="267">
        <f t="shared" si="4"/>
        <v>9279.792</v>
      </c>
      <c r="N20" s="269">
        <v>40</v>
      </c>
      <c r="O20" s="270">
        <f t="shared" si="5"/>
        <v>9279.792</v>
      </c>
      <c r="P20" s="271">
        <v>20</v>
      </c>
      <c r="Q20" s="272">
        <f t="shared" si="6"/>
        <v>4639.896</v>
      </c>
      <c r="S20" s="72">
        <f t="shared" si="7"/>
        <v>23199.48</v>
      </c>
      <c r="T20" s="72">
        <f t="shared" si="8"/>
        <v>0</v>
      </c>
    </row>
    <row r="21" spans="2:20" ht="12.75">
      <c r="B21" s="264">
        <v>10</v>
      </c>
      <c r="C21" s="265" t="str">
        <f>'ORÇAMENTO GERAL'!E85</f>
        <v>ESQUADRIAS</v>
      </c>
      <c r="D21" s="266">
        <f t="shared" si="0"/>
        <v>2.0257644990025407</v>
      </c>
      <c r="E21" s="267">
        <f>TRUNC('ORÇAMENTO GERAL'!Q90,2)</f>
        <v>20091.43</v>
      </c>
      <c r="F21" s="268"/>
      <c r="G21" s="267">
        <f t="shared" si="1"/>
        <v>0</v>
      </c>
      <c r="H21" s="269"/>
      <c r="I21" s="267">
        <f t="shared" si="2"/>
        <v>0</v>
      </c>
      <c r="J21" s="269"/>
      <c r="K21" s="270">
        <f t="shared" si="3"/>
        <v>0</v>
      </c>
      <c r="L21" s="271"/>
      <c r="M21" s="267">
        <f t="shared" si="4"/>
        <v>0</v>
      </c>
      <c r="N21" s="269">
        <v>70</v>
      </c>
      <c r="O21" s="270">
        <f t="shared" si="5"/>
        <v>14064.001</v>
      </c>
      <c r="P21" s="271">
        <v>30</v>
      </c>
      <c r="Q21" s="272">
        <f t="shared" si="6"/>
        <v>6027.429</v>
      </c>
      <c r="S21" s="72">
        <f t="shared" si="7"/>
        <v>20091.43</v>
      </c>
      <c r="T21" s="72">
        <f t="shared" si="8"/>
        <v>0</v>
      </c>
    </row>
    <row r="22" spans="2:20" ht="12.75">
      <c r="B22" s="264">
        <v>11</v>
      </c>
      <c r="C22" s="265" t="str">
        <f>'ORÇAMENTO GERAL'!E91</f>
        <v>ELETRICO</v>
      </c>
      <c r="D22" s="266">
        <f t="shared" si="0"/>
        <v>2.382017573289721</v>
      </c>
      <c r="E22" s="267">
        <f>TRUNC('ORÇAMENTO GERAL'!Q105,2)</f>
        <v>23624.73</v>
      </c>
      <c r="F22" s="268">
        <v>15</v>
      </c>
      <c r="G22" s="267">
        <f t="shared" si="1"/>
        <v>3543.7095</v>
      </c>
      <c r="H22" s="269"/>
      <c r="I22" s="267">
        <f t="shared" si="2"/>
        <v>0</v>
      </c>
      <c r="J22" s="269"/>
      <c r="K22" s="270">
        <f t="shared" si="3"/>
        <v>0</v>
      </c>
      <c r="L22" s="271">
        <v>20</v>
      </c>
      <c r="M22" s="267">
        <f t="shared" si="4"/>
        <v>4724.946</v>
      </c>
      <c r="N22" s="269">
        <v>35</v>
      </c>
      <c r="O22" s="270">
        <f t="shared" si="5"/>
        <v>8268.6555</v>
      </c>
      <c r="P22" s="271">
        <v>30</v>
      </c>
      <c r="Q22" s="272">
        <f t="shared" si="6"/>
        <v>7087.419</v>
      </c>
      <c r="S22" s="72">
        <f t="shared" si="7"/>
        <v>23624.730000000003</v>
      </c>
      <c r="T22" s="72">
        <f t="shared" si="8"/>
        <v>0</v>
      </c>
    </row>
    <row r="23" spans="2:20" ht="12.75">
      <c r="B23" s="264">
        <v>12</v>
      </c>
      <c r="C23" s="265" t="str">
        <f>'ORÇAMENTO GERAL'!E106</f>
        <v>HIDROSSANITÁRIO</v>
      </c>
      <c r="D23" s="266">
        <f t="shared" si="0"/>
        <v>2.6680121732823903</v>
      </c>
      <c r="E23" s="267">
        <f>TRUNC('ORÇAMENTO GERAL'!Q126,2)</f>
        <v>26461.21</v>
      </c>
      <c r="F23" s="268">
        <v>15</v>
      </c>
      <c r="G23" s="267">
        <f t="shared" si="1"/>
        <v>3969.1815</v>
      </c>
      <c r="H23" s="269"/>
      <c r="I23" s="267">
        <f t="shared" si="2"/>
        <v>0</v>
      </c>
      <c r="J23" s="269"/>
      <c r="K23" s="270">
        <f t="shared" si="3"/>
        <v>0</v>
      </c>
      <c r="L23" s="271">
        <v>50</v>
      </c>
      <c r="M23" s="267">
        <f t="shared" si="4"/>
        <v>13230.605</v>
      </c>
      <c r="N23" s="269">
        <v>35</v>
      </c>
      <c r="O23" s="270">
        <f t="shared" si="5"/>
        <v>9261.4235</v>
      </c>
      <c r="P23" s="271"/>
      <c r="Q23" s="272">
        <f t="shared" si="6"/>
        <v>0</v>
      </c>
      <c r="S23" s="72">
        <f t="shared" si="7"/>
        <v>26461.21</v>
      </c>
      <c r="T23" s="72">
        <f t="shared" si="8"/>
        <v>0</v>
      </c>
    </row>
    <row r="24" spans="2:20" ht="12.75">
      <c r="B24" s="264">
        <v>13</v>
      </c>
      <c r="C24" s="265" t="str">
        <f>'ORÇAMENTO GERAL'!E127</f>
        <v>DRENAGEM</v>
      </c>
      <c r="D24" s="266">
        <f t="shared" si="0"/>
        <v>7.035256632431936</v>
      </c>
      <c r="E24" s="267">
        <f>TRUNC('ORÇAMENTO GERAL'!Q135,2)</f>
        <v>69775.32</v>
      </c>
      <c r="F24" s="268">
        <v>50</v>
      </c>
      <c r="G24" s="267">
        <f t="shared" si="1"/>
        <v>34887.66</v>
      </c>
      <c r="H24" s="269">
        <v>50</v>
      </c>
      <c r="I24" s="267">
        <f t="shared" si="2"/>
        <v>34887.66</v>
      </c>
      <c r="J24" s="269"/>
      <c r="K24" s="270">
        <f t="shared" si="3"/>
        <v>0</v>
      </c>
      <c r="L24" s="271"/>
      <c r="M24" s="267">
        <f t="shared" si="4"/>
        <v>0</v>
      </c>
      <c r="N24" s="269"/>
      <c r="O24" s="270">
        <f t="shared" si="5"/>
        <v>0</v>
      </c>
      <c r="P24" s="271"/>
      <c r="Q24" s="272">
        <f t="shared" si="6"/>
        <v>0</v>
      </c>
      <c r="S24" s="72">
        <f t="shared" si="7"/>
        <v>69775.32</v>
      </c>
      <c r="T24" s="72">
        <f t="shared" si="8"/>
        <v>0</v>
      </c>
    </row>
    <row r="25" spans="2:20" ht="12.75">
      <c r="B25" s="264">
        <v>14</v>
      </c>
      <c r="C25" s="265" t="str">
        <f>'ORÇAMENTO GERAL'!E136</f>
        <v>PINTURAS</v>
      </c>
      <c r="D25" s="266">
        <f t="shared" si="0"/>
        <v>3.1375467277787608</v>
      </c>
      <c r="E25" s="267">
        <f>TRUNC('ORÇAMENTO GERAL'!Q143,2)</f>
        <v>31118.03</v>
      </c>
      <c r="F25" s="268"/>
      <c r="G25" s="267">
        <f t="shared" si="1"/>
        <v>0</v>
      </c>
      <c r="H25" s="269"/>
      <c r="I25" s="267">
        <f t="shared" si="2"/>
        <v>0</v>
      </c>
      <c r="J25" s="269"/>
      <c r="K25" s="270">
        <f t="shared" si="3"/>
        <v>0</v>
      </c>
      <c r="L25" s="271"/>
      <c r="M25" s="267">
        <f t="shared" si="4"/>
        <v>0</v>
      </c>
      <c r="N25" s="269">
        <v>60</v>
      </c>
      <c r="O25" s="270">
        <f t="shared" si="5"/>
        <v>18670.818</v>
      </c>
      <c r="P25" s="271">
        <v>40</v>
      </c>
      <c r="Q25" s="272">
        <f t="shared" si="6"/>
        <v>12447.212</v>
      </c>
      <c r="S25" s="72">
        <f t="shared" si="7"/>
        <v>31118.03</v>
      </c>
      <c r="T25" s="72">
        <f t="shared" si="8"/>
        <v>0</v>
      </c>
    </row>
    <row r="26" spans="2:20" ht="12.75">
      <c r="B26" s="264">
        <v>15</v>
      </c>
      <c r="C26" s="265" t="str">
        <f>'ORÇAMENTO GERAL'!E144</f>
        <v>PPCI</v>
      </c>
      <c r="D26" s="266">
        <f t="shared" si="0"/>
        <v>2.43991361319192</v>
      </c>
      <c r="E26" s="267">
        <f>TRUNC('ORÇAMENTO GERAL'!Q157,2)</f>
        <v>24198.94</v>
      </c>
      <c r="F26" s="268">
        <v>15</v>
      </c>
      <c r="G26" s="267">
        <f t="shared" si="1"/>
        <v>3629.841</v>
      </c>
      <c r="H26" s="269"/>
      <c r="I26" s="267">
        <f t="shared" si="2"/>
        <v>0</v>
      </c>
      <c r="J26" s="269"/>
      <c r="K26" s="270">
        <f t="shared" si="3"/>
        <v>0</v>
      </c>
      <c r="L26" s="271"/>
      <c r="M26" s="267">
        <f t="shared" si="4"/>
        <v>0</v>
      </c>
      <c r="N26" s="269">
        <v>50</v>
      </c>
      <c r="O26" s="270">
        <f t="shared" si="5"/>
        <v>12099.47</v>
      </c>
      <c r="P26" s="271">
        <v>35</v>
      </c>
      <c r="Q26" s="272">
        <f t="shared" si="6"/>
        <v>8469.629</v>
      </c>
      <c r="S26" s="72">
        <f t="shared" si="7"/>
        <v>24198.940000000002</v>
      </c>
      <c r="T26" s="72">
        <f t="shared" si="8"/>
        <v>0</v>
      </c>
    </row>
    <row r="27" spans="2:20" ht="12.75">
      <c r="B27" s="264">
        <v>16</v>
      </c>
      <c r="C27" s="265" t="str">
        <f>'ORÇAMENTO GERAL'!E158</f>
        <v>CERCAMENTO</v>
      </c>
      <c r="D27" s="266">
        <f t="shared" si="0"/>
        <v>8.37741712639291</v>
      </c>
      <c r="E27" s="267">
        <f>TRUNC('ORÇAMENTO GERAL'!Q167,2)</f>
        <v>83086.8</v>
      </c>
      <c r="F27" s="268"/>
      <c r="G27" s="267">
        <f t="shared" si="1"/>
        <v>0</v>
      </c>
      <c r="H27" s="269"/>
      <c r="I27" s="267">
        <f t="shared" si="2"/>
        <v>0</v>
      </c>
      <c r="J27" s="269"/>
      <c r="K27" s="270">
        <f t="shared" si="3"/>
        <v>0</v>
      </c>
      <c r="L27" s="271"/>
      <c r="M27" s="267">
        <f t="shared" si="4"/>
        <v>0</v>
      </c>
      <c r="N27" s="269">
        <v>50</v>
      </c>
      <c r="O27" s="270">
        <f t="shared" si="5"/>
        <v>41543.4</v>
      </c>
      <c r="P27" s="271">
        <v>50</v>
      </c>
      <c r="Q27" s="272">
        <f t="shared" si="6"/>
        <v>41543.4</v>
      </c>
      <c r="S27" s="72">
        <f t="shared" si="7"/>
        <v>83086.8</v>
      </c>
      <c r="T27" s="72">
        <f t="shared" si="8"/>
        <v>0</v>
      </c>
    </row>
    <row r="28" spans="2:20" ht="12.75">
      <c r="B28" s="264">
        <v>17</v>
      </c>
      <c r="C28" s="265" t="str">
        <f>'ORÇAMENTO GERAL'!E168</f>
        <v>LIMPEZA</v>
      </c>
      <c r="D28" s="266">
        <f t="shared" si="0"/>
        <v>1.0929315580806294</v>
      </c>
      <c r="E28" s="267">
        <f>'ORÇAMENTO GERAL'!Q169</f>
        <v>10839.64</v>
      </c>
      <c r="F28" s="268"/>
      <c r="G28" s="267">
        <f t="shared" si="1"/>
        <v>0</v>
      </c>
      <c r="H28" s="269"/>
      <c r="I28" s="267">
        <f t="shared" si="2"/>
        <v>0</v>
      </c>
      <c r="J28" s="269"/>
      <c r="K28" s="270">
        <f t="shared" si="3"/>
        <v>0</v>
      </c>
      <c r="L28" s="271"/>
      <c r="M28" s="267">
        <f t="shared" si="4"/>
        <v>0</v>
      </c>
      <c r="N28" s="269"/>
      <c r="O28" s="270">
        <f t="shared" si="5"/>
        <v>0</v>
      </c>
      <c r="P28" s="271">
        <v>100</v>
      </c>
      <c r="Q28" s="272">
        <f t="shared" si="6"/>
        <v>10839.64</v>
      </c>
      <c r="S28" s="72">
        <f t="shared" si="7"/>
        <v>10839.64</v>
      </c>
      <c r="T28" s="72">
        <f t="shared" si="8"/>
        <v>0</v>
      </c>
    </row>
    <row r="29" spans="2:20" ht="12.75">
      <c r="B29" s="264">
        <v>18</v>
      </c>
      <c r="C29" s="265" t="str">
        <f>'ORÇAMENTO GERAL'!E171</f>
        <v>COBERTURA DA PISTA DE ABASTECIMENTO</v>
      </c>
      <c r="D29" s="266">
        <f t="shared" si="0"/>
        <v>5.073176668221591</v>
      </c>
      <c r="E29" s="267">
        <f>'ORÇAMENTO GERAL'!Q189</f>
        <v>50315.51</v>
      </c>
      <c r="F29" s="268"/>
      <c r="G29" s="267">
        <f t="shared" si="1"/>
        <v>0</v>
      </c>
      <c r="H29" s="269"/>
      <c r="I29" s="267">
        <f t="shared" si="2"/>
        <v>0</v>
      </c>
      <c r="J29" s="269"/>
      <c r="K29" s="270">
        <f t="shared" si="3"/>
        <v>0</v>
      </c>
      <c r="L29" s="271">
        <v>30</v>
      </c>
      <c r="M29" s="267">
        <f t="shared" si="4"/>
        <v>15094.653</v>
      </c>
      <c r="N29" s="269"/>
      <c r="O29" s="270">
        <f t="shared" si="5"/>
        <v>0</v>
      </c>
      <c r="P29" s="271">
        <v>70</v>
      </c>
      <c r="Q29" s="272">
        <f t="shared" si="6"/>
        <v>35220.857</v>
      </c>
      <c r="S29" s="72">
        <f t="shared" si="7"/>
        <v>50315.51</v>
      </c>
      <c r="T29" s="72">
        <f t="shared" si="8"/>
        <v>0</v>
      </c>
    </row>
    <row r="30" spans="2:20" ht="12.75">
      <c r="B30" s="260" t="s">
        <v>6</v>
      </c>
      <c r="C30" s="261" t="s">
        <v>743</v>
      </c>
      <c r="D30" s="273">
        <f>SUM(D12:D29)</f>
        <v>100</v>
      </c>
      <c r="E30" s="273">
        <f>SUM(E12:E29)</f>
        <v>991794.9500000001</v>
      </c>
      <c r="F30" s="261"/>
      <c r="G30" s="273">
        <f>SUM(G12:G27)</f>
        <v>150052.482</v>
      </c>
      <c r="H30" s="273"/>
      <c r="I30" s="273">
        <f>SUM(I12:I27)</f>
        <v>158906.676</v>
      </c>
      <c r="J30" s="273"/>
      <c r="K30" s="273">
        <f>SUM(K12:K27)</f>
        <v>162249.864</v>
      </c>
      <c r="L30" s="261"/>
      <c r="M30" s="273">
        <f>SUM(M12:M29)</f>
        <v>151402.982</v>
      </c>
      <c r="N30" s="273"/>
      <c r="O30" s="273">
        <f>SUM(O12:O27)</f>
        <v>199667.496</v>
      </c>
      <c r="P30" s="261"/>
      <c r="Q30" s="274">
        <f>SUM(Q12:Q29)</f>
        <v>169515.45</v>
      </c>
      <c r="S30" s="95">
        <f>SUM(G30:Q30)</f>
        <v>991794.95</v>
      </c>
      <c r="T30" s="72">
        <f t="shared" si="8"/>
        <v>0</v>
      </c>
    </row>
    <row r="31" spans="2:20" ht="12.75">
      <c r="B31" s="260"/>
      <c r="C31" s="261" t="s">
        <v>742</v>
      </c>
      <c r="D31" s="261"/>
      <c r="E31" s="261"/>
      <c r="F31" s="261"/>
      <c r="G31" s="273">
        <f>G30</f>
        <v>150052.482</v>
      </c>
      <c r="H31" s="273"/>
      <c r="I31" s="273">
        <f>I30+G31</f>
        <v>308959.158</v>
      </c>
      <c r="J31" s="273"/>
      <c r="K31" s="273">
        <f>K30+I31</f>
        <v>471209.022</v>
      </c>
      <c r="L31" s="261"/>
      <c r="M31" s="273">
        <f>M30+K31</f>
        <v>622612.004</v>
      </c>
      <c r="N31" s="273"/>
      <c r="O31" s="273">
        <f>O30+M31</f>
        <v>822279.5</v>
      </c>
      <c r="P31" s="261"/>
      <c r="Q31" s="274">
        <f>Q30+O31</f>
        <v>991794.95</v>
      </c>
      <c r="S31" s="72">
        <f>SUM(S12:S28)</f>
        <v>941479.4400000001</v>
      </c>
      <c r="T31" s="72"/>
    </row>
    <row r="32" spans="2:17" ht="12.75">
      <c r="B32" s="260" t="s">
        <v>103</v>
      </c>
      <c r="C32" s="261" t="s">
        <v>741</v>
      </c>
      <c r="D32" s="261"/>
      <c r="E32" s="261"/>
      <c r="F32" s="261"/>
      <c r="G32" s="273">
        <f>G30/E30*100</f>
        <v>15.12938556503035</v>
      </c>
      <c r="H32" s="273"/>
      <c r="I32" s="273">
        <f>I30/$E$30*100</f>
        <v>16.02212997757248</v>
      </c>
      <c r="J32" s="273"/>
      <c r="K32" s="273">
        <f>K30/$E$30*100</f>
        <v>16.359214573536597</v>
      </c>
      <c r="L32" s="261"/>
      <c r="M32" s="273">
        <f>M30/$E$30*100</f>
        <v>15.265552824200201</v>
      </c>
      <c r="N32" s="273"/>
      <c r="O32" s="273">
        <f>O30/$E$30*100</f>
        <v>20.13193311782844</v>
      </c>
      <c r="P32" s="261"/>
      <c r="Q32" s="274">
        <f>Q30/$E$30*100</f>
        <v>17.091783941831928</v>
      </c>
    </row>
    <row r="33" spans="2:17" ht="13.5" thickBot="1">
      <c r="B33" s="275"/>
      <c r="C33" s="276" t="s">
        <v>740</v>
      </c>
      <c r="D33" s="277">
        <f>D30</f>
        <v>100</v>
      </c>
      <c r="E33" s="276"/>
      <c r="F33" s="276"/>
      <c r="G33" s="277">
        <f>G32</f>
        <v>15.12938556503035</v>
      </c>
      <c r="H33" s="277"/>
      <c r="I33" s="277">
        <f>G33+I32</f>
        <v>31.15151554260283</v>
      </c>
      <c r="J33" s="277"/>
      <c r="K33" s="277">
        <f>I33+K32</f>
        <v>47.51073011613943</v>
      </c>
      <c r="L33" s="276"/>
      <c r="M33" s="277">
        <f>K33+M32</f>
        <v>62.77628294033963</v>
      </c>
      <c r="N33" s="277"/>
      <c r="O33" s="277">
        <f>M33+O32</f>
        <v>82.90821605816807</v>
      </c>
      <c r="P33" s="276"/>
      <c r="Q33" s="278">
        <f>O33+Q32</f>
        <v>100</v>
      </c>
    </row>
    <row r="34" spans="2:17" ht="12.75">
      <c r="B34" s="279"/>
      <c r="C34" s="259" t="s">
        <v>739</v>
      </c>
      <c r="D34" s="280">
        <f>E34/$E$36*100</f>
        <v>70.57910508618743</v>
      </c>
      <c r="E34" s="281">
        <v>700000</v>
      </c>
      <c r="F34" s="282"/>
      <c r="G34" s="281"/>
      <c r="H34" s="281"/>
      <c r="I34" s="281"/>
      <c r="J34" s="283"/>
      <c r="K34" s="281"/>
      <c r="L34" s="282"/>
      <c r="M34" s="281"/>
      <c r="N34" s="283"/>
      <c r="O34" s="281"/>
      <c r="P34" s="282"/>
      <c r="Q34" s="284"/>
    </row>
    <row r="35" spans="2:17" ht="12.75">
      <c r="B35" s="285"/>
      <c r="C35" s="286" t="s">
        <v>738</v>
      </c>
      <c r="D35" s="287">
        <f>E35/$E$36*100</f>
        <v>29.420894913812585</v>
      </c>
      <c r="E35" s="288">
        <f>E30-E34</f>
        <v>291794.95000000007</v>
      </c>
      <c r="F35" s="265"/>
      <c r="G35" s="267"/>
      <c r="H35" s="267"/>
      <c r="I35" s="267"/>
      <c r="J35" s="270"/>
      <c r="K35" s="267"/>
      <c r="L35" s="265"/>
      <c r="M35" s="267"/>
      <c r="N35" s="270"/>
      <c r="O35" s="267"/>
      <c r="P35" s="265"/>
      <c r="Q35" s="272"/>
    </row>
    <row r="36" spans="2:17" ht="13.5" thickBot="1">
      <c r="B36" s="289"/>
      <c r="C36" s="290" t="s">
        <v>737</v>
      </c>
      <c r="D36" s="291">
        <f>E36/$E$36*100</f>
        <v>100</v>
      </c>
      <c r="E36" s="292">
        <f>E34+E35</f>
        <v>991794.9500000001</v>
      </c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4"/>
    </row>
    <row r="37" spans="2:17" ht="13.5"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57"/>
      <c r="O37" s="257"/>
      <c r="P37" s="257"/>
      <c r="Q37" s="257"/>
    </row>
    <row r="38" spans="2:17" ht="13.5">
      <c r="B38" s="296"/>
      <c r="C38" s="297" t="str">
        <f>'ORÇAMENTO GERAL'!E193</f>
        <v>Augusto Pestana, 21 de março de 2018</v>
      </c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57"/>
      <c r="O38" s="257"/>
      <c r="P38" s="257"/>
      <c r="Q38" s="257"/>
    </row>
    <row r="39" spans="2:17" ht="13.5"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57"/>
      <c r="O39" s="257"/>
      <c r="P39" s="257"/>
      <c r="Q39" s="257"/>
    </row>
    <row r="40" ht="12.75">
      <c r="E40" s="72">
        <f>E30-E24-E27-E29-130869.48</f>
        <v>657747.8400000001</v>
      </c>
    </row>
    <row r="41" ht="12.75">
      <c r="I41" s="93" t="s">
        <v>736</v>
      </c>
    </row>
    <row r="45" ht="12.75">
      <c r="E45" t="s">
        <v>736</v>
      </c>
    </row>
    <row r="50" ht="12.75">
      <c r="J50" s="93"/>
    </row>
    <row r="58" spans="11:12" ht="12.75">
      <c r="K58" s="94"/>
      <c r="L58" s="94"/>
    </row>
    <row r="59" spans="11:12" ht="12.75">
      <c r="K59" s="94"/>
      <c r="L59" s="94"/>
    </row>
    <row r="60" spans="11:12" ht="12.75">
      <c r="K60" s="94"/>
      <c r="L60" s="94"/>
    </row>
    <row r="61" spans="11:12" ht="12.75">
      <c r="K61" s="94"/>
      <c r="L61" s="94"/>
    </row>
    <row r="62" spans="11:12" ht="12.75">
      <c r="K62" s="94"/>
      <c r="L62" s="94"/>
    </row>
    <row r="63" spans="11:12" ht="12.75">
      <c r="K63" s="94"/>
      <c r="L63" s="94"/>
    </row>
    <row r="64" spans="11:12" ht="12.75">
      <c r="K64" s="94"/>
      <c r="L64" s="94"/>
    </row>
    <row r="65" spans="11:12" ht="12.75">
      <c r="K65" s="94"/>
      <c r="L65" s="94"/>
    </row>
    <row r="66" spans="11:12" ht="12.75">
      <c r="K66" s="94"/>
      <c r="L66" s="94"/>
    </row>
    <row r="67" spans="11:12" ht="12.75">
      <c r="K67" s="94"/>
      <c r="L67" s="94"/>
    </row>
    <row r="68" spans="11:12" ht="12.75">
      <c r="K68" s="94"/>
      <c r="L68" s="94"/>
    </row>
    <row r="69" spans="11:12" ht="12.75">
      <c r="K69" s="94"/>
      <c r="L69" s="94"/>
    </row>
    <row r="70" spans="4:12" ht="12.75">
      <c r="D70" s="93"/>
      <c r="E70" s="93"/>
      <c r="K70" s="94"/>
      <c r="L70" s="94"/>
    </row>
    <row r="71" spans="4:12" ht="12.75">
      <c r="D71" s="93"/>
      <c r="E71" s="93"/>
      <c r="K71" s="94"/>
      <c r="L71" s="94"/>
    </row>
    <row r="72" spans="4:12" ht="12.75">
      <c r="D72" s="93"/>
      <c r="E72" s="93"/>
      <c r="K72" s="94"/>
      <c r="L72" s="94"/>
    </row>
    <row r="73" spans="4:12" ht="12.75">
      <c r="D73" s="93"/>
      <c r="E73" s="93"/>
      <c r="K73" s="94"/>
      <c r="L73" s="94"/>
    </row>
    <row r="74" spans="4:12" ht="12.75">
      <c r="D74" s="93"/>
      <c r="E74" s="93"/>
      <c r="K74" s="94"/>
      <c r="L74" s="94"/>
    </row>
    <row r="75" spans="4:12" ht="12.75">
      <c r="D75" s="93"/>
      <c r="E75" s="93"/>
      <c r="K75" s="94"/>
      <c r="L75" s="94"/>
    </row>
    <row r="76" spans="4:12" ht="12.75">
      <c r="D76" s="93"/>
      <c r="E76" s="93"/>
      <c r="K76" s="94"/>
      <c r="L76" s="94"/>
    </row>
    <row r="77" spans="4:12" ht="12.75">
      <c r="D77" s="93"/>
      <c r="E77" s="93"/>
      <c r="K77" s="94"/>
      <c r="L77" s="94"/>
    </row>
    <row r="78" spans="4:12" ht="12.75">
      <c r="D78" s="93"/>
      <c r="E78" s="93"/>
      <c r="K78" s="94"/>
      <c r="L78" s="94"/>
    </row>
    <row r="79" spans="4:12" ht="12.75">
      <c r="D79" s="93"/>
      <c r="E79" s="93"/>
      <c r="K79" s="94"/>
      <c r="L79" s="94"/>
    </row>
    <row r="80" spans="4:12" ht="12.75">
      <c r="D80" s="93"/>
      <c r="E80" s="93"/>
      <c r="K80" s="94"/>
      <c r="L80" s="94"/>
    </row>
    <row r="81" spans="4:12" ht="12.75">
      <c r="D81" s="93"/>
      <c r="E81" s="93"/>
      <c r="K81" s="94"/>
      <c r="L81" s="94"/>
    </row>
    <row r="82" spans="4:12" ht="12.75">
      <c r="D82" s="93"/>
      <c r="E82" s="93"/>
      <c r="K82" s="94"/>
      <c r="L82" s="94"/>
    </row>
    <row r="83" spans="4:12" ht="12.75">
      <c r="D83" s="93"/>
      <c r="E83" s="93"/>
      <c r="K83" s="94"/>
      <c r="L83" s="94"/>
    </row>
    <row r="84" spans="4:12" ht="12.75">
      <c r="D84" s="93"/>
      <c r="E84" s="93"/>
      <c r="K84" s="94"/>
      <c r="L84" s="94"/>
    </row>
    <row r="85" spans="4:12" ht="12.75">
      <c r="D85" s="93"/>
      <c r="E85" s="93"/>
      <c r="K85" s="94"/>
      <c r="L85" s="94"/>
    </row>
    <row r="86" spans="4:12" ht="12.75">
      <c r="D86" s="93"/>
      <c r="E86" s="93"/>
      <c r="K86" s="94"/>
      <c r="L86" s="94"/>
    </row>
    <row r="87" spans="4:12" ht="12.75">
      <c r="D87" s="93"/>
      <c r="E87" s="93"/>
      <c r="K87" s="94"/>
      <c r="L87" s="94"/>
    </row>
    <row r="88" spans="4:12" ht="12.75">
      <c r="D88" s="93"/>
      <c r="E88" s="93"/>
      <c r="K88" s="94"/>
      <c r="L88" s="94"/>
    </row>
    <row r="89" spans="4:5" ht="12.75">
      <c r="D89" s="93"/>
      <c r="E89" s="93"/>
    </row>
    <row r="90" spans="4:5" ht="12.75">
      <c r="D90" s="93"/>
      <c r="E90" s="93"/>
    </row>
    <row r="91" spans="6:7" ht="12.75">
      <c r="F91" s="93"/>
      <c r="G91" s="93"/>
    </row>
    <row r="92" spans="6:7" ht="12.75">
      <c r="F92" s="93"/>
      <c r="G92" s="93"/>
    </row>
    <row r="93" spans="6:7" ht="12.75">
      <c r="F93" s="93"/>
      <c r="G93" s="93"/>
    </row>
    <row r="94" spans="6:7" ht="12.75">
      <c r="F94" s="93"/>
      <c r="G94" s="93"/>
    </row>
    <row r="95" spans="6:7" ht="12.75">
      <c r="F95" s="93"/>
      <c r="G95" s="93"/>
    </row>
    <row r="96" spans="6:7" ht="12.75">
      <c r="F96" s="93"/>
      <c r="G96" s="93"/>
    </row>
    <row r="97" spans="6:7" ht="12.75">
      <c r="F97" s="93"/>
      <c r="G97" s="93"/>
    </row>
    <row r="98" spans="6:7" ht="12.75">
      <c r="F98" s="93"/>
      <c r="G98" s="93"/>
    </row>
    <row r="132" spans="6:7" ht="12.75">
      <c r="F132" s="93"/>
      <c r="G132" s="93"/>
    </row>
    <row r="133" spans="6:7" ht="12.75">
      <c r="F133" s="93"/>
      <c r="G133" s="93"/>
    </row>
    <row r="134" spans="6:7" ht="12.75">
      <c r="F134" s="93"/>
      <c r="G134" s="93"/>
    </row>
    <row r="135" spans="6:7" ht="12.75">
      <c r="F135" s="93"/>
      <c r="G135" s="93"/>
    </row>
    <row r="136" spans="5:7" ht="12.75">
      <c r="E136" s="93"/>
      <c r="F136" s="93"/>
      <c r="G136" s="93"/>
    </row>
    <row r="137" spans="5:7" ht="12.75">
      <c r="E137" s="93"/>
      <c r="F137" s="93"/>
      <c r="G137" s="93"/>
    </row>
    <row r="138" spans="5:7" ht="12.75">
      <c r="E138" s="93"/>
      <c r="F138" s="93"/>
      <c r="G138" s="93"/>
    </row>
    <row r="139" spans="5:7" ht="12.75">
      <c r="E139" s="93"/>
      <c r="F139" s="93"/>
      <c r="G139" s="93"/>
    </row>
  </sheetData>
  <sheetProtection/>
  <mergeCells count="10">
    <mergeCell ref="B8:Q8"/>
    <mergeCell ref="B5:J5"/>
    <mergeCell ref="F10:G10"/>
    <mergeCell ref="H10:I10"/>
    <mergeCell ref="J10:K10"/>
    <mergeCell ref="N10:O10"/>
    <mergeCell ref="P10:Q10"/>
    <mergeCell ref="F9:Q9"/>
    <mergeCell ref="B7:Q7"/>
    <mergeCell ref="L10: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7" max="3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25"/>
  <sheetViews>
    <sheetView zoomScale="85" zoomScaleNormal="85" zoomScaleSheetLayoutView="85" zoomScalePageLayoutView="0" workbookViewId="0" topLeftCell="A1">
      <selection activeCell="B8" sqref="B8:K20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113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5" ht="12.75">
      <c r="B12" s="346" t="s">
        <v>331</v>
      </c>
      <c r="C12" s="340" t="s">
        <v>108</v>
      </c>
      <c r="D12" s="339" t="s">
        <v>332</v>
      </c>
      <c r="E12" s="340" t="s">
        <v>109</v>
      </c>
      <c r="F12" s="340">
        <f>0.8*0.8*0.05</f>
        <v>0.03200000000000001</v>
      </c>
      <c r="G12" s="341">
        <f>O12*0.25</f>
        <v>21.5775</v>
      </c>
      <c r="H12" s="342">
        <f>O12-G12</f>
        <v>64.7325</v>
      </c>
      <c r="I12" s="342">
        <f>F12*G12</f>
        <v>0.6904800000000002</v>
      </c>
      <c r="J12" s="342">
        <f>F12*H12</f>
        <v>2.0714400000000004</v>
      </c>
      <c r="K12" s="343">
        <f>I12+J12</f>
        <v>2.761920000000001</v>
      </c>
      <c r="O12" s="63">
        <v>86.31</v>
      </c>
    </row>
    <row r="13" spans="2:15" ht="22.5">
      <c r="B13" s="346" t="s">
        <v>116</v>
      </c>
      <c r="C13" s="340" t="s">
        <v>108</v>
      </c>
      <c r="D13" s="339" t="s">
        <v>117</v>
      </c>
      <c r="E13" s="340" t="s">
        <v>109</v>
      </c>
      <c r="F13" s="340">
        <f>0.8*0.8*0.6</f>
        <v>0.38400000000000006</v>
      </c>
      <c r="G13" s="341">
        <f>O13*0.25</f>
        <v>87.9775</v>
      </c>
      <c r="H13" s="342">
        <f>O13-G13</f>
        <v>263.9325</v>
      </c>
      <c r="I13" s="342">
        <f>F13*G13</f>
        <v>33.78336000000001</v>
      </c>
      <c r="J13" s="342">
        <f>F13*H13</f>
        <v>101.35008000000002</v>
      </c>
      <c r="K13" s="343">
        <f>I13+J13</f>
        <v>135.13344000000004</v>
      </c>
      <c r="O13" s="63">
        <v>351.91</v>
      </c>
    </row>
    <row r="14" spans="2:15" ht="48.75" customHeight="1">
      <c r="B14" s="346" t="s">
        <v>139</v>
      </c>
      <c r="C14" s="340" t="s">
        <v>108</v>
      </c>
      <c r="D14" s="339" t="s">
        <v>140</v>
      </c>
      <c r="E14" s="365" t="s">
        <v>19</v>
      </c>
      <c r="F14" s="365">
        <f>4*0.3</f>
        <v>1.2</v>
      </c>
      <c r="G14" s="341">
        <f>O14*0.25</f>
        <v>8.0625</v>
      </c>
      <c r="H14" s="342">
        <f>O14-G14</f>
        <v>24.1875</v>
      </c>
      <c r="I14" s="342">
        <f>F14*G14</f>
        <v>9.674999999999999</v>
      </c>
      <c r="J14" s="342">
        <f>F14*H14</f>
        <v>29.025</v>
      </c>
      <c r="K14" s="343">
        <f>I14+J14</f>
        <v>38.699999999999996</v>
      </c>
      <c r="O14" s="63">
        <v>32.25</v>
      </c>
    </row>
    <row r="15" spans="2:15" ht="22.5">
      <c r="B15" s="346" t="s">
        <v>265</v>
      </c>
      <c r="C15" s="340" t="s">
        <v>108</v>
      </c>
      <c r="D15" s="339" t="s">
        <v>266</v>
      </c>
      <c r="E15" s="365" t="s">
        <v>132</v>
      </c>
      <c r="F15" s="365">
        <f>8*0.5</f>
        <v>4</v>
      </c>
      <c r="G15" s="341">
        <f>O15*0.25</f>
        <v>1.47</v>
      </c>
      <c r="H15" s="342">
        <f>O15-G15</f>
        <v>4.41</v>
      </c>
      <c r="I15" s="342">
        <f>F15*G15</f>
        <v>5.88</v>
      </c>
      <c r="J15" s="342">
        <f>F15*H15</f>
        <v>17.64</v>
      </c>
      <c r="K15" s="343">
        <f>I15+J15</f>
        <v>23.52</v>
      </c>
      <c r="O15" s="63">
        <v>5.88</v>
      </c>
    </row>
    <row r="16" spans="2:11" ht="12.75">
      <c r="B16" s="346"/>
      <c r="C16" s="347"/>
      <c r="D16" s="348" t="s">
        <v>6</v>
      </c>
      <c r="E16" s="349"/>
      <c r="F16" s="349"/>
      <c r="G16" s="342"/>
      <c r="H16" s="342"/>
      <c r="I16" s="342"/>
      <c r="J16" s="342"/>
      <c r="K16" s="343">
        <f>SUM(K12:K15)</f>
        <v>200.11536000000004</v>
      </c>
    </row>
    <row r="17" spans="2:11" ht="12.75">
      <c r="B17" s="350"/>
      <c r="C17" s="351"/>
      <c r="D17" s="351"/>
      <c r="E17" s="351"/>
      <c r="F17" s="351"/>
      <c r="G17" s="352"/>
      <c r="H17" s="352"/>
      <c r="I17" s="352"/>
      <c r="J17" s="352"/>
      <c r="K17" s="353"/>
    </row>
    <row r="18" spans="2:11" ht="12.75">
      <c r="B18" s="350"/>
      <c r="C18" s="351"/>
      <c r="D18" s="351" t="str">
        <f>'COMP.6'!D19</f>
        <v>Augusto Pestana, 22 de janeiro de 2018.</v>
      </c>
      <c r="E18" s="351"/>
      <c r="F18" s="351"/>
      <c r="G18" s="352"/>
      <c r="H18" s="352"/>
      <c r="I18" s="354" t="s">
        <v>44</v>
      </c>
      <c r="J18" s="354"/>
      <c r="K18" s="355">
        <f>SUM(I12:I15)</f>
        <v>50.02884000000001</v>
      </c>
    </row>
    <row r="19" spans="2:11" ht="13.5" thickBot="1">
      <c r="B19" s="356"/>
      <c r="C19" s="357"/>
      <c r="D19" s="358"/>
      <c r="E19" s="358"/>
      <c r="F19" s="358"/>
      <c r="G19" s="359"/>
      <c r="H19" s="359"/>
      <c r="I19" s="360" t="s">
        <v>26</v>
      </c>
      <c r="J19" s="360"/>
      <c r="K19" s="361">
        <f>SUM(J12:J15)</f>
        <v>150.08652</v>
      </c>
    </row>
    <row r="20" spans="2:11" ht="12.75">
      <c r="B20" s="332"/>
      <c r="C20" s="332"/>
      <c r="D20" s="362"/>
      <c r="E20" s="362"/>
      <c r="F20" s="362"/>
      <c r="G20" s="363"/>
      <c r="H20" s="363"/>
      <c r="I20" s="364" t="s">
        <v>6</v>
      </c>
      <c r="J20" s="364"/>
      <c r="K20" s="364">
        <f>SUM(K18:K19)</f>
        <v>200.11536</v>
      </c>
    </row>
    <row r="24" spans="7:8" ht="12.75" hidden="1">
      <c r="G24" t="s">
        <v>23</v>
      </c>
      <c r="H24" t="s">
        <v>24</v>
      </c>
    </row>
    <row r="25" spans="7:8" ht="12.75" hidden="1">
      <c r="G25">
        <v>27</v>
      </c>
      <c r="H25">
        <v>25</v>
      </c>
    </row>
  </sheetData>
  <sheetProtection/>
  <mergeCells count="1">
    <mergeCell ref="B9:K9"/>
  </mergeCells>
  <conditionalFormatting sqref="E12:G12">
    <cfRule type="expression" priority="13" dxfId="0" stopIfTrue="1">
      <formula>$K12=1</formula>
    </cfRule>
  </conditionalFormatting>
  <conditionalFormatting sqref="G14">
    <cfRule type="expression" priority="11" dxfId="0" stopIfTrue="1">
      <formula>$K14=1</formula>
    </cfRule>
  </conditionalFormatting>
  <conditionalFormatting sqref="C14:C15">
    <cfRule type="expression" priority="7" dxfId="0" stopIfTrue="1">
      <formula>$K14=1</formula>
    </cfRule>
  </conditionalFormatting>
  <conditionalFormatting sqref="G15">
    <cfRule type="expression" priority="4" dxfId="0" stopIfTrue="1">
      <formula>$K15=1</formula>
    </cfRule>
  </conditionalFormatting>
  <conditionalFormatting sqref="E13:G13">
    <cfRule type="expression" priority="2" dxfId="0" stopIfTrue="1">
      <formula>$K13=1</formula>
    </cfRule>
  </conditionalFormatting>
  <conditionalFormatting sqref="C12:C13">
    <cfRule type="expression" priority="1" dxfId="0" stopIfTrue="1">
      <formula>$K12=1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28"/>
  <sheetViews>
    <sheetView zoomScale="85" zoomScaleNormal="85" zoomScaleSheetLayoutView="85" zoomScalePageLayoutView="0" workbookViewId="0" topLeftCell="A1">
      <selection activeCell="B8" sqref="B8:K24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118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5" ht="12.75">
      <c r="B12" s="346" t="s">
        <v>331</v>
      </c>
      <c r="C12" s="340" t="s">
        <v>108</v>
      </c>
      <c r="D12" s="339" t="s">
        <v>332</v>
      </c>
      <c r="E12" s="340" t="s">
        <v>109</v>
      </c>
      <c r="F12" s="340">
        <f>1*0.15*0.05</f>
        <v>0.0075</v>
      </c>
      <c r="G12" s="341">
        <f aca="true" t="shared" si="0" ref="G12:G18">O12*0.25</f>
        <v>21.5775</v>
      </c>
      <c r="H12" s="342">
        <f aca="true" t="shared" si="1" ref="H12:H18">O12-G12</f>
        <v>64.7325</v>
      </c>
      <c r="I12" s="342">
        <f aca="true" t="shared" si="2" ref="I12:I18">F12*G12</f>
        <v>0.16183125</v>
      </c>
      <c r="J12" s="342">
        <f aca="true" t="shared" si="3" ref="J12:J18">F12*H12</f>
        <v>0.48549375</v>
      </c>
      <c r="K12" s="343">
        <f aca="true" t="shared" si="4" ref="K12:K18">I12+J12</f>
        <v>0.647325</v>
      </c>
      <c r="O12" s="63">
        <v>86.31</v>
      </c>
    </row>
    <row r="13" spans="2:15" ht="33.75">
      <c r="B13" s="346" t="s">
        <v>104</v>
      </c>
      <c r="C13" s="340" t="s">
        <v>108</v>
      </c>
      <c r="D13" s="339" t="s">
        <v>106</v>
      </c>
      <c r="E13" s="340" t="s">
        <v>109</v>
      </c>
      <c r="F13" s="340">
        <f>1*0.15*0.35</f>
        <v>0.0525</v>
      </c>
      <c r="G13" s="341">
        <f>O13*0.25</f>
        <v>74.1575</v>
      </c>
      <c r="H13" s="342">
        <f>O13-G13</f>
        <v>222.4725</v>
      </c>
      <c r="I13" s="342">
        <f>F13*G13</f>
        <v>3.89326875</v>
      </c>
      <c r="J13" s="342">
        <f>F13*H13</f>
        <v>11.679806249999999</v>
      </c>
      <c r="K13" s="343">
        <f>I13+J13</f>
        <v>15.573075</v>
      </c>
      <c r="O13" s="63">
        <v>296.63</v>
      </c>
    </row>
    <row r="14" spans="2:15" ht="22.5">
      <c r="B14" s="346" t="s">
        <v>116</v>
      </c>
      <c r="C14" s="340" t="s">
        <v>108</v>
      </c>
      <c r="D14" s="339" t="s">
        <v>117</v>
      </c>
      <c r="E14" s="340" t="s">
        <v>109</v>
      </c>
      <c r="F14" s="340">
        <f>1*0.4*0.4</f>
        <v>0.16000000000000003</v>
      </c>
      <c r="G14" s="341">
        <f t="shared" si="0"/>
        <v>87.9775</v>
      </c>
      <c r="H14" s="342">
        <f t="shared" si="1"/>
        <v>263.9325</v>
      </c>
      <c r="I14" s="342">
        <f t="shared" si="2"/>
        <v>14.076400000000003</v>
      </c>
      <c r="J14" s="342">
        <f t="shared" si="3"/>
        <v>42.229200000000006</v>
      </c>
      <c r="K14" s="343">
        <f t="shared" si="4"/>
        <v>56.30560000000001</v>
      </c>
      <c r="O14" s="63">
        <v>351.91</v>
      </c>
    </row>
    <row r="15" spans="2:15" ht="48.75" customHeight="1">
      <c r="B15" s="346" t="s">
        <v>139</v>
      </c>
      <c r="C15" s="340" t="s">
        <v>108</v>
      </c>
      <c r="D15" s="339" t="s">
        <v>140</v>
      </c>
      <c r="E15" s="365" t="s">
        <v>19</v>
      </c>
      <c r="F15" s="365">
        <f>1*0.15</f>
        <v>0.15</v>
      </c>
      <c r="G15" s="341">
        <f t="shared" si="0"/>
        <v>8.0625</v>
      </c>
      <c r="H15" s="342">
        <f t="shared" si="1"/>
        <v>24.1875</v>
      </c>
      <c r="I15" s="342">
        <f t="shared" si="2"/>
        <v>1.2093749999999999</v>
      </c>
      <c r="J15" s="342">
        <f t="shared" si="3"/>
        <v>3.628125</v>
      </c>
      <c r="K15" s="343">
        <f t="shared" si="4"/>
        <v>4.8374999999999995</v>
      </c>
      <c r="O15" s="63">
        <v>32.25</v>
      </c>
    </row>
    <row r="16" spans="2:15" ht="45">
      <c r="B16" s="346" t="s">
        <v>105</v>
      </c>
      <c r="C16" s="340" t="s">
        <v>108</v>
      </c>
      <c r="D16" s="339" t="s">
        <v>107</v>
      </c>
      <c r="E16" s="365" t="s">
        <v>22</v>
      </c>
      <c r="F16" s="365">
        <f>6*0.617</f>
        <v>3.702</v>
      </c>
      <c r="G16" s="341">
        <f t="shared" si="0"/>
        <v>2.0175</v>
      </c>
      <c r="H16" s="342">
        <f t="shared" si="1"/>
        <v>6.0525</v>
      </c>
      <c r="I16" s="342">
        <f t="shared" si="2"/>
        <v>7.4687850000000005</v>
      </c>
      <c r="J16" s="342">
        <f t="shared" si="3"/>
        <v>22.406355</v>
      </c>
      <c r="K16" s="343">
        <f t="shared" si="4"/>
        <v>29.875140000000002</v>
      </c>
      <c r="O16" s="63">
        <v>8.07</v>
      </c>
    </row>
    <row r="17" spans="2:15" ht="45">
      <c r="B17" s="346" t="s">
        <v>119</v>
      </c>
      <c r="C17" s="340" t="s">
        <v>108</v>
      </c>
      <c r="D17" s="339" t="s">
        <v>120</v>
      </c>
      <c r="E17" s="365" t="s">
        <v>22</v>
      </c>
      <c r="F17" s="365">
        <f>5*0.9*0.154</f>
        <v>0.693</v>
      </c>
      <c r="G17" s="341">
        <f t="shared" si="0"/>
        <v>3.0675</v>
      </c>
      <c r="H17" s="342">
        <f t="shared" si="1"/>
        <v>9.2025</v>
      </c>
      <c r="I17" s="342">
        <f t="shared" si="2"/>
        <v>2.1257775</v>
      </c>
      <c r="J17" s="342">
        <f t="shared" si="3"/>
        <v>6.3773325</v>
      </c>
      <c r="K17" s="343">
        <f t="shared" si="4"/>
        <v>8.50311</v>
      </c>
      <c r="O17" s="63">
        <v>12.27</v>
      </c>
    </row>
    <row r="18" spans="2:15" ht="22.5">
      <c r="B18" s="346" t="s">
        <v>114</v>
      </c>
      <c r="C18" s="340" t="s">
        <v>108</v>
      </c>
      <c r="D18" s="339" t="s">
        <v>115</v>
      </c>
      <c r="E18" s="365" t="s">
        <v>109</v>
      </c>
      <c r="F18" s="365">
        <f>F13</f>
        <v>0.0525</v>
      </c>
      <c r="G18" s="341">
        <f t="shared" si="0"/>
        <v>38.6625</v>
      </c>
      <c r="H18" s="342">
        <f t="shared" si="1"/>
        <v>115.98750000000001</v>
      </c>
      <c r="I18" s="342">
        <f t="shared" si="2"/>
        <v>2.02978125</v>
      </c>
      <c r="J18" s="342">
        <f t="shared" si="3"/>
        <v>6.08934375</v>
      </c>
      <c r="K18" s="343">
        <f t="shared" si="4"/>
        <v>8.119125</v>
      </c>
      <c r="O18" s="63">
        <v>154.65</v>
      </c>
    </row>
    <row r="19" spans="2:11" ht="12.75">
      <c r="B19" s="346"/>
      <c r="C19" s="347"/>
      <c r="D19" s="348" t="s">
        <v>6</v>
      </c>
      <c r="E19" s="349"/>
      <c r="F19" s="349"/>
      <c r="G19" s="342"/>
      <c r="H19" s="342"/>
      <c r="I19" s="342"/>
      <c r="J19" s="342"/>
      <c r="K19" s="343">
        <f>SUM(K12:K18)</f>
        <v>123.86087500000002</v>
      </c>
    </row>
    <row r="20" spans="2:11" ht="12.75">
      <c r="B20" s="350"/>
      <c r="C20" s="351"/>
      <c r="D20" s="351"/>
      <c r="E20" s="351"/>
      <c r="F20" s="351"/>
      <c r="G20" s="352"/>
      <c r="H20" s="352"/>
      <c r="I20" s="352"/>
      <c r="J20" s="352"/>
      <c r="K20" s="353"/>
    </row>
    <row r="21" spans="2:11" ht="12.75">
      <c r="B21" s="350"/>
      <c r="C21" s="351"/>
      <c r="D21" s="351" t="str">
        <f>'COMP.6'!D19</f>
        <v>Augusto Pestana, 22 de janeiro de 2018.</v>
      </c>
      <c r="E21" s="351"/>
      <c r="F21" s="351"/>
      <c r="G21" s="352"/>
      <c r="H21" s="352"/>
      <c r="I21" s="354" t="s">
        <v>44</v>
      </c>
      <c r="J21" s="354"/>
      <c r="K21" s="355">
        <f>SUM(I12:I18)</f>
        <v>30.965218750000005</v>
      </c>
    </row>
    <row r="22" spans="2:11" ht="13.5" thickBot="1">
      <c r="B22" s="356"/>
      <c r="C22" s="357"/>
      <c r="D22" s="358"/>
      <c r="E22" s="358"/>
      <c r="F22" s="358"/>
      <c r="G22" s="359"/>
      <c r="H22" s="359"/>
      <c r="I22" s="360" t="s">
        <v>26</v>
      </c>
      <c r="J22" s="360"/>
      <c r="K22" s="361">
        <f>SUM(J12:J18)</f>
        <v>92.89565625</v>
      </c>
    </row>
    <row r="23" spans="2:11" ht="12.75">
      <c r="B23" s="332"/>
      <c r="C23" s="332"/>
      <c r="D23" s="362"/>
      <c r="E23" s="362"/>
      <c r="F23" s="362"/>
      <c r="G23" s="363"/>
      <c r="H23" s="363"/>
      <c r="I23" s="364" t="s">
        <v>6</v>
      </c>
      <c r="J23" s="364"/>
      <c r="K23" s="364">
        <f>SUM(K21:K22)</f>
        <v>123.86087500000001</v>
      </c>
    </row>
    <row r="24" spans="2:11" ht="12.75">
      <c r="B24" s="332"/>
      <c r="C24" s="332"/>
      <c r="D24" s="332"/>
      <c r="E24" s="332"/>
      <c r="F24" s="332"/>
      <c r="G24" s="332"/>
      <c r="H24" s="332"/>
      <c r="I24" s="332"/>
      <c r="J24" s="332"/>
      <c r="K24" s="332"/>
    </row>
    <row r="27" spans="7:8" ht="12.75" hidden="1">
      <c r="G27" t="s">
        <v>23</v>
      </c>
      <c r="H27" t="s">
        <v>24</v>
      </c>
    </row>
    <row r="28" spans="7:8" ht="12.75" hidden="1">
      <c r="G28">
        <v>27</v>
      </c>
      <c r="H28">
        <v>25</v>
      </c>
    </row>
  </sheetData>
  <sheetProtection/>
  <mergeCells count="1">
    <mergeCell ref="B9:K9"/>
  </mergeCells>
  <conditionalFormatting sqref="E12:G12">
    <cfRule type="expression" priority="14" dxfId="0" stopIfTrue="1">
      <formula>$K12=1</formula>
    </cfRule>
  </conditionalFormatting>
  <conditionalFormatting sqref="C12">
    <cfRule type="expression" priority="13" dxfId="0" stopIfTrue="1">
      <formula>$K12=1</formula>
    </cfRule>
  </conditionalFormatting>
  <conditionalFormatting sqref="G15">
    <cfRule type="expression" priority="12" dxfId="0" stopIfTrue="1">
      <formula>$K15=1</formula>
    </cfRule>
  </conditionalFormatting>
  <conditionalFormatting sqref="G18">
    <cfRule type="expression" priority="11" dxfId="0" stopIfTrue="1">
      <formula>$K18=1</formula>
    </cfRule>
  </conditionalFormatting>
  <conditionalFormatting sqref="C15">
    <cfRule type="expression" priority="10" dxfId="0" stopIfTrue="1">
      <formula>$K15=1</formula>
    </cfRule>
  </conditionalFormatting>
  <conditionalFormatting sqref="C18">
    <cfRule type="expression" priority="9" dxfId="0" stopIfTrue="1">
      <formula>$K18=1</formula>
    </cfRule>
  </conditionalFormatting>
  <conditionalFormatting sqref="G16">
    <cfRule type="expression" priority="8" dxfId="0" stopIfTrue="1">
      <formula>$K16=1</formula>
    </cfRule>
  </conditionalFormatting>
  <conditionalFormatting sqref="C16">
    <cfRule type="expression" priority="7" dxfId="0" stopIfTrue="1">
      <formula>$K16=1</formula>
    </cfRule>
  </conditionalFormatting>
  <conditionalFormatting sqref="G17">
    <cfRule type="expression" priority="4" dxfId="0" stopIfTrue="1">
      <formula>$K17=1</formula>
    </cfRule>
  </conditionalFormatting>
  <conditionalFormatting sqref="C17">
    <cfRule type="expression" priority="3" dxfId="0" stopIfTrue="1">
      <formula>$K17=1</formula>
    </cfRule>
  </conditionalFormatting>
  <conditionalFormatting sqref="E13:G13">
    <cfRule type="expression" priority="2" dxfId="0" stopIfTrue="1">
      <formula>$K13=1</formula>
    </cfRule>
  </conditionalFormatting>
  <conditionalFormatting sqref="C13">
    <cfRule type="expression" priority="1" dxfId="0" stopIfTrue="1">
      <formula>$K13=1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28"/>
  <sheetViews>
    <sheetView zoomScale="85" zoomScaleNormal="85" zoomScaleSheetLayoutView="85" zoomScalePageLayoutView="0" workbookViewId="0" topLeftCell="A1">
      <selection activeCell="B8" sqref="B8:K23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121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5" ht="12.75">
      <c r="B12" s="346" t="s">
        <v>331</v>
      </c>
      <c r="C12" s="340" t="s">
        <v>108</v>
      </c>
      <c r="D12" s="339" t="s">
        <v>332</v>
      </c>
      <c r="E12" s="340" t="s">
        <v>109</v>
      </c>
      <c r="F12" s="340">
        <f>1*0.2*0.05</f>
        <v>0.010000000000000002</v>
      </c>
      <c r="G12" s="341">
        <f aca="true" t="shared" si="0" ref="G12:G18">O12*0.25</f>
        <v>21.5775</v>
      </c>
      <c r="H12" s="342">
        <f aca="true" t="shared" si="1" ref="H12:H18">O12-G12</f>
        <v>64.7325</v>
      </c>
      <c r="I12" s="342">
        <f aca="true" t="shared" si="2" ref="I12:I18">F12*G12</f>
        <v>0.21577500000000005</v>
      </c>
      <c r="J12" s="342">
        <f aca="true" t="shared" si="3" ref="J12:J18">F12*H12</f>
        <v>0.6473250000000002</v>
      </c>
      <c r="K12" s="343">
        <f aca="true" t="shared" si="4" ref="K12:K18">I12+J12</f>
        <v>0.8631000000000002</v>
      </c>
      <c r="O12" s="63">
        <v>86.31</v>
      </c>
    </row>
    <row r="13" spans="2:15" ht="33.75">
      <c r="B13" s="346" t="s">
        <v>104</v>
      </c>
      <c r="C13" s="340" t="s">
        <v>108</v>
      </c>
      <c r="D13" s="339" t="s">
        <v>106</v>
      </c>
      <c r="E13" s="340" t="s">
        <v>109</v>
      </c>
      <c r="F13" s="340">
        <f>1*0.2*0.35</f>
        <v>0.06999999999999999</v>
      </c>
      <c r="G13" s="341">
        <f>O13*0.25</f>
        <v>74.1575</v>
      </c>
      <c r="H13" s="342">
        <f>O13-G13</f>
        <v>222.4725</v>
      </c>
      <c r="I13" s="342">
        <f>F13*G13</f>
        <v>5.191025</v>
      </c>
      <c r="J13" s="342">
        <f>F13*H13</f>
        <v>15.573074999999998</v>
      </c>
      <c r="K13" s="343">
        <f>I13+J13</f>
        <v>20.7641</v>
      </c>
      <c r="O13" s="63">
        <v>296.63</v>
      </c>
    </row>
    <row r="14" spans="2:15" ht="22.5">
      <c r="B14" s="346" t="s">
        <v>116</v>
      </c>
      <c r="C14" s="340" t="s">
        <v>108</v>
      </c>
      <c r="D14" s="339" t="s">
        <v>117</v>
      </c>
      <c r="E14" s="340" t="s">
        <v>109</v>
      </c>
      <c r="F14" s="340">
        <f>1*0.4*0.4</f>
        <v>0.16000000000000003</v>
      </c>
      <c r="G14" s="341">
        <f t="shared" si="0"/>
        <v>87.9775</v>
      </c>
      <c r="H14" s="342">
        <f t="shared" si="1"/>
        <v>263.9325</v>
      </c>
      <c r="I14" s="342">
        <f t="shared" si="2"/>
        <v>14.076400000000003</v>
      </c>
      <c r="J14" s="342">
        <f t="shared" si="3"/>
        <v>42.229200000000006</v>
      </c>
      <c r="K14" s="343">
        <f t="shared" si="4"/>
        <v>56.30560000000001</v>
      </c>
      <c r="O14" s="63">
        <v>351.91</v>
      </c>
    </row>
    <row r="15" spans="2:15" ht="48.75" customHeight="1">
      <c r="B15" s="346" t="s">
        <v>139</v>
      </c>
      <c r="C15" s="340" t="s">
        <v>108</v>
      </c>
      <c r="D15" s="339" t="s">
        <v>140</v>
      </c>
      <c r="E15" s="365" t="s">
        <v>19</v>
      </c>
      <c r="F15" s="365">
        <f>1*0.15</f>
        <v>0.15</v>
      </c>
      <c r="G15" s="341">
        <f t="shared" si="0"/>
        <v>8.0625</v>
      </c>
      <c r="H15" s="342">
        <f t="shared" si="1"/>
        <v>24.1875</v>
      </c>
      <c r="I15" s="342">
        <f t="shared" si="2"/>
        <v>1.2093749999999999</v>
      </c>
      <c r="J15" s="342">
        <f t="shared" si="3"/>
        <v>3.628125</v>
      </c>
      <c r="K15" s="343">
        <f t="shared" si="4"/>
        <v>4.8374999999999995</v>
      </c>
      <c r="O15" s="63">
        <v>32.25</v>
      </c>
    </row>
    <row r="16" spans="2:15" ht="45">
      <c r="B16" s="346" t="s">
        <v>105</v>
      </c>
      <c r="C16" s="340" t="s">
        <v>108</v>
      </c>
      <c r="D16" s="339" t="s">
        <v>107</v>
      </c>
      <c r="E16" s="365" t="s">
        <v>22</v>
      </c>
      <c r="F16" s="365">
        <f>6*0.617</f>
        <v>3.702</v>
      </c>
      <c r="G16" s="341">
        <f t="shared" si="0"/>
        <v>2.0175</v>
      </c>
      <c r="H16" s="342">
        <f t="shared" si="1"/>
        <v>6.0525</v>
      </c>
      <c r="I16" s="342">
        <f t="shared" si="2"/>
        <v>7.4687850000000005</v>
      </c>
      <c r="J16" s="342">
        <f t="shared" si="3"/>
        <v>22.406355</v>
      </c>
      <c r="K16" s="343">
        <f t="shared" si="4"/>
        <v>29.875140000000002</v>
      </c>
      <c r="O16" s="63">
        <v>8.07</v>
      </c>
    </row>
    <row r="17" spans="2:15" ht="45">
      <c r="B17" s="346" t="s">
        <v>119</v>
      </c>
      <c r="C17" s="340" t="s">
        <v>108</v>
      </c>
      <c r="D17" s="339" t="s">
        <v>120</v>
      </c>
      <c r="E17" s="365" t="s">
        <v>22</v>
      </c>
      <c r="F17" s="365">
        <f>5*1*0.154</f>
        <v>0.77</v>
      </c>
      <c r="G17" s="341">
        <f t="shared" si="0"/>
        <v>3.0675</v>
      </c>
      <c r="H17" s="342">
        <f t="shared" si="1"/>
        <v>9.2025</v>
      </c>
      <c r="I17" s="342">
        <f t="shared" si="2"/>
        <v>2.361975</v>
      </c>
      <c r="J17" s="342">
        <f t="shared" si="3"/>
        <v>7.0859250000000005</v>
      </c>
      <c r="K17" s="343">
        <f t="shared" si="4"/>
        <v>9.4479</v>
      </c>
      <c r="O17" s="63">
        <v>12.27</v>
      </c>
    </row>
    <row r="18" spans="2:15" ht="22.5">
      <c r="B18" s="346" t="s">
        <v>114</v>
      </c>
      <c r="C18" s="340" t="s">
        <v>108</v>
      </c>
      <c r="D18" s="339" t="s">
        <v>115</v>
      </c>
      <c r="E18" s="365" t="s">
        <v>109</v>
      </c>
      <c r="F18" s="365">
        <f>F13</f>
        <v>0.06999999999999999</v>
      </c>
      <c r="G18" s="341">
        <f t="shared" si="0"/>
        <v>38.6625</v>
      </c>
      <c r="H18" s="342">
        <f t="shared" si="1"/>
        <v>115.98750000000001</v>
      </c>
      <c r="I18" s="342">
        <f t="shared" si="2"/>
        <v>2.706375</v>
      </c>
      <c r="J18" s="342">
        <f t="shared" si="3"/>
        <v>8.119125</v>
      </c>
      <c r="K18" s="343">
        <f t="shared" si="4"/>
        <v>10.8255</v>
      </c>
      <c r="O18" s="63">
        <v>154.65</v>
      </c>
    </row>
    <row r="19" spans="2:11" ht="12.75">
      <c r="B19" s="346"/>
      <c r="C19" s="347"/>
      <c r="D19" s="348" t="s">
        <v>6</v>
      </c>
      <c r="E19" s="349"/>
      <c r="F19" s="349"/>
      <c r="G19" s="342"/>
      <c r="H19" s="342"/>
      <c r="I19" s="342"/>
      <c r="J19" s="342"/>
      <c r="K19" s="343">
        <f>SUM(K12:K18)</f>
        <v>132.91884000000002</v>
      </c>
    </row>
    <row r="20" spans="2:11" ht="12.75">
      <c r="B20" s="350"/>
      <c r="C20" s="351"/>
      <c r="D20" s="351"/>
      <c r="E20" s="351"/>
      <c r="F20" s="351"/>
      <c r="G20" s="352"/>
      <c r="H20" s="352"/>
      <c r="I20" s="352"/>
      <c r="J20" s="352"/>
      <c r="K20" s="353"/>
    </row>
    <row r="21" spans="2:11" ht="12.75">
      <c r="B21" s="350"/>
      <c r="C21" s="351"/>
      <c r="D21" s="351" t="str">
        <f>'COMP.6'!D19</f>
        <v>Augusto Pestana, 22 de janeiro de 2018.</v>
      </c>
      <c r="E21" s="351"/>
      <c r="F21" s="351"/>
      <c r="G21" s="352"/>
      <c r="H21" s="352"/>
      <c r="I21" s="354" t="s">
        <v>44</v>
      </c>
      <c r="J21" s="354"/>
      <c r="K21" s="355">
        <f>SUM(I12:I18)</f>
        <v>33.229710000000004</v>
      </c>
    </row>
    <row r="22" spans="2:11" ht="13.5" thickBot="1">
      <c r="B22" s="356"/>
      <c r="C22" s="357"/>
      <c r="D22" s="358"/>
      <c r="E22" s="358"/>
      <c r="F22" s="358"/>
      <c r="G22" s="359"/>
      <c r="H22" s="359"/>
      <c r="I22" s="360" t="s">
        <v>26</v>
      </c>
      <c r="J22" s="360"/>
      <c r="K22" s="361">
        <f>SUM(J12:J18)</f>
        <v>99.68913</v>
      </c>
    </row>
    <row r="23" spans="2:11" ht="12.75">
      <c r="B23" s="332"/>
      <c r="C23" s="332"/>
      <c r="D23" s="362"/>
      <c r="E23" s="362"/>
      <c r="F23" s="362"/>
      <c r="G23" s="363"/>
      <c r="H23" s="363"/>
      <c r="I23" s="364" t="s">
        <v>6</v>
      </c>
      <c r="J23" s="364"/>
      <c r="K23" s="364">
        <f>SUM(K21:K22)</f>
        <v>132.91884000000002</v>
      </c>
    </row>
    <row r="27" spans="7:8" ht="12.75" hidden="1">
      <c r="G27" t="s">
        <v>23</v>
      </c>
      <c r="H27" t="s">
        <v>24</v>
      </c>
    </row>
    <row r="28" spans="7:8" ht="12.75" hidden="1">
      <c r="G28">
        <v>27</v>
      </c>
      <c r="H28">
        <v>25</v>
      </c>
    </row>
  </sheetData>
  <sheetProtection/>
  <mergeCells count="1">
    <mergeCell ref="B9:K9"/>
  </mergeCells>
  <conditionalFormatting sqref="E12:G12">
    <cfRule type="expression" priority="13" dxfId="0" stopIfTrue="1">
      <formula>$K12=1</formula>
    </cfRule>
  </conditionalFormatting>
  <conditionalFormatting sqref="C12">
    <cfRule type="expression" priority="12" dxfId="0" stopIfTrue="1">
      <formula>$K12=1</formula>
    </cfRule>
  </conditionalFormatting>
  <conditionalFormatting sqref="G15">
    <cfRule type="expression" priority="11" dxfId="0" stopIfTrue="1">
      <formula>$K15=1</formula>
    </cfRule>
  </conditionalFormatting>
  <conditionalFormatting sqref="G18">
    <cfRule type="expression" priority="10" dxfId="0" stopIfTrue="1">
      <formula>$K18=1</formula>
    </cfRule>
  </conditionalFormatting>
  <conditionalFormatting sqref="C15">
    <cfRule type="expression" priority="9" dxfId="0" stopIfTrue="1">
      <formula>$K15=1</formula>
    </cfRule>
  </conditionalFormatting>
  <conditionalFormatting sqref="C18">
    <cfRule type="expression" priority="8" dxfId="0" stopIfTrue="1">
      <formula>$K18=1</formula>
    </cfRule>
  </conditionalFormatting>
  <conditionalFormatting sqref="G16">
    <cfRule type="expression" priority="7" dxfId="0" stopIfTrue="1">
      <formula>$K16=1</formula>
    </cfRule>
  </conditionalFormatting>
  <conditionalFormatting sqref="C16">
    <cfRule type="expression" priority="6" dxfId="0" stopIfTrue="1">
      <formula>$K16=1</formula>
    </cfRule>
  </conditionalFormatting>
  <conditionalFormatting sqref="G17">
    <cfRule type="expression" priority="4" dxfId="0" stopIfTrue="1">
      <formula>$K17=1</formula>
    </cfRule>
  </conditionalFormatting>
  <conditionalFormatting sqref="C17">
    <cfRule type="expression" priority="3" dxfId="0" stopIfTrue="1">
      <formula>$K17=1</formula>
    </cfRule>
  </conditionalFormatting>
  <conditionalFormatting sqref="E13:G13">
    <cfRule type="expression" priority="2" dxfId="0" stopIfTrue="1">
      <formula>$K13=1</formula>
    </cfRule>
  </conditionalFormatting>
  <conditionalFormatting sqref="C13">
    <cfRule type="expression" priority="1" dxfId="0" stopIfTrue="1">
      <formula>$K13=1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24"/>
  <sheetViews>
    <sheetView zoomScale="85" zoomScaleNormal="85" zoomScaleSheetLayoutView="85" zoomScalePageLayoutView="0" workbookViewId="0" topLeftCell="A1">
      <selection activeCell="B8" sqref="B8:K19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128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5" ht="33.75">
      <c r="B12" s="346" t="s">
        <v>104</v>
      </c>
      <c r="C12" s="340" t="s">
        <v>108</v>
      </c>
      <c r="D12" s="339" t="s">
        <v>106</v>
      </c>
      <c r="E12" s="340" t="s">
        <v>109</v>
      </c>
      <c r="F12" s="340">
        <v>0.017</v>
      </c>
      <c r="G12" s="341">
        <f>O12*0.25</f>
        <v>74.1575</v>
      </c>
      <c r="H12" s="342">
        <f>O12-G12</f>
        <v>222.4725</v>
      </c>
      <c r="I12" s="342">
        <f>F12*G12</f>
        <v>1.2606775000000001</v>
      </c>
      <c r="J12" s="342">
        <f>F12*H12</f>
        <v>3.7820325</v>
      </c>
      <c r="K12" s="343">
        <f>I12+J12</f>
        <v>5.0427100000000005</v>
      </c>
      <c r="O12" s="63">
        <v>296.63</v>
      </c>
    </row>
    <row r="13" spans="2:15" ht="22.5">
      <c r="B13" s="346" t="s">
        <v>114</v>
      </c>
      <c r="C13" s="340" t="s">
        <v>108</v>
      </c>
      <c r="D13" s="339" t="s">
        <v>115</v>
      </c>
      <c r="E13" s="365" t="s">
        <v>109</v>
      </c>
      <c r="F13" s="365">
        <f>F12</f>
        <v>0.017</v>
      </c>
      <c r="G13" s="341">
        <f>O13*0.25</f>
        <v>38.6625</v>
      </c>
      <c r="H13" s="342">
        <f>O13-G13</f>
        <v>115.98750000000001</v>
      </c>
      <c r="I13" s="342">
        <f>F13*G13</f>
        <v>0.6572625000000001</v>
      </c>
      <c r="J13" s="342">
        <f>F13*H13</f>
        <v>1.9717875000000002</v>
      </c>
      <c r="K13" s="343">
        <f>I13+J13</f>
        <v>2.6290500000000003</v>
      </c>
      <c r="O13" s="63">
        <v>154.65</v>
      </c>
    </row>
    <row r="14" spans="2:15" ht="33.75">
      <c r="B14" s="346" t="s">
        <v>129</v>
      </c>
      <c r="C14" s="340" t="s">
        <v>130</v>
      </c>
      <c r="D14" s="339" t="s">
        <v>131</v>
      </c>
      <c r="E14" s="365" t="s">
        <v>132</v>
      </c>
      <c r="F14" s="365">
        <v>1</v>
      </c>
      <c r="G14" s="341">
        <f>O14*0.25</f>
        <v>0.9375</v>
      </c>
      <c r="H14" s="342">
        <f>O14-G14</f>
        <v>2.8125</v>
      </c>
      <c r="I14" s="342">
        <f>F14*G14</f>
        <v>0.9375</v>
      </c>
      <c r="J14" s="342">
        <f>F14*H14</f>
        <v>2.8125</v>
      </c>
      <c r="K14" s="343">
        <f>I14+J14</f>
        <v>3.75</v>
      </c>
      <c r="O14" s="63">
        <v>3.75</v>
      </c>
    </row>
    <row r="15" spans="2:11" ht="12.75">
      <c r="B15" s="346"/>
      <c r="C15" s="347"/>
      <c r="D15" s="348" t="s">
        <v>6</v>
      </c>
      <c r="E15" s="349"/>
      <c r="F15" s="349"/>
      <c r="G15" s="342"/>
      <c r="H15" s="342"/>
      <c r="I15" s="342"/>
      <c r="J15" s="342"/>
      <c r="K15" s="343">
        <f>SUM(K12:K14)</f>
        <v>11.42176</v>
      </c>
    </row>
    <row r="16" spans="2:11" ht="12.75">
      <c r="B16" s="350"/>
      <c r="C16" s="351"/>
      <c r="D16" s="351"/>
      <c r="E16" s="351"/>
      <c r="F16" s="351"/>
      <c r="G16" s="352"/>
      <c r="H16" s="352"/>
      <c r="I16" s="352"/>
      <c r="J16" s="352"/>
      <c r="K16" s="353"/>
    </row>
    <row r="17" spans="2:11" ht="12.75">
      <c r="B17" s="350"/>
      <c r="C17" s="351"/>
      <c r="D17" s="351" t="str">
        <f>'COMP.6'!D19</f>
        <v>Augusto Pestana, 22 de janeiro de 2018.</v>
      </c>
      <c r="E17" s="351"/>
      <c r="F17" s="351"/>
      <c r="G17" s="352"/>
      <c r="H17" s="352"/>
      <c r="I17" s="354" t="s">
        <v>44</v>
      </c>
      <c r="J17" s="354"/>
      <c r="K17" s="355">
        <f>SUM(I12:I14)</f>
        <v>2.85544</v>
      </c>
    </row>
    <row r="18" spans="2:11" ht="13.5" thickBot="1">
      <c r="B18" s="356"/>
      <c r="C18" s="357"/>
      <c r="D18" s="358"/>
      <c r="E18" s="358"/>
      <c r="F18" s="358"/>
      <c r="G18" s="359"/>
      <c r="H18" s="359"/>
      <c r="I18" s="360" t="s">
        <v>26</v>
      </c>
      <c r="J18" s="360"/>
      <c r="K18" s="361">
        <f>SUM(J12:J14)</f>
        <v>8.566320000000001</v>
      </c>
    </row>
    <row r="19" spans="2:11" ht="12.75">
      <c r="B19" s="332"/>
      <c r="C19" s="332"/>
      <c r="D19" s="362"/>
      <c r="E19" s="362"/>
      <c r="F19" s="362"/>
      <c r="G19" s="363"/>
      <c r="H19" s="363"/>
      <c r="I19" s="364" t="s">
        <v>6</v>
      </c>
      <c r="J19" s="364"/>
      <c r="K19" s="364">
        <f>SUM(K17:K18)</f>
        <v>11.42176</v>
      </c>
    </row>
    <row r="23" spans="7:8" ht="12.75" hidden="1">
      <c r="G23" t="s">
        <v>23</v>
      </c>
      <c r="H23" t="s">
        <v>24</v>
      </c>
    </row>
    <row r="24" spans="7:8" ht="12.75" hidden="1">
      <c r="G24">
        <v>27</v>
      </c>
      <c r="H24">
        <v>25</v>
      </c>
    </row>
  </sheetData>
  <sheetProtection/>
  <mergeCells count="1">
    <mergeCell ref="B9:K9"/>
  </mergeCells>
  <conditionalFormatting sqref="E12:G12">
    <cfRule type="expression" priority="13" dxfId="0" stopIfTrue="1">
      <formula>$K12=1</formula>
    </cfRule>
  </conditionalFormatting>
  <conditionalFormatting sqref="C12">
    <cfRule type="expression" priority="12" dxfId="0" stopIfTrue="1">
      <formula>$K12=1</formula>
    </cfRule>
  </conditionalFormatting>
  <conditionalFormatting sqref="G14">
    <cfRule type="expression" priority="4" dxfId="0" stopIfTrue="1">
      <formula>$K14=1</formula>
    </cfRule>
  </conditionalFormatting>
  <conditionalFormatting sqref="C14">
    <cfRule type="expression" priority="3" dxfId="0" stopIfTrue="1">
      <formula>$K14=1</formula>
    </cfRule>
  </conditionalFormatting>
  <conditionalFormatting sqref="G13">
    <cfRule type="expression" priority="2" dxfId="0" stopIfTrue="1">
      <formula>$K13=1</formula>
    </cfRule>
  </conditionalFormatting>
  <conditionalFormatting sqref="C13">
    <cfRule type="expression" priority="1" dxfId="0" stopIfTrue="1">
      <formula>$K13=1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24"/>
  <sheetViews>
    <sheetView zoomScale="85" zoomScaleNormal="85" zoomScaleSheetLayoutView="85" zoomScalePageLayoutView="0" workbookViewId="0" topLeftCell="A1">
      <selection activeCell="B8" sqref="B8:K19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135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5" ht="33.75">
      <c r="B12" s="346" t="s">
        <v>104</v>
      </c>
      <c r="C12" s="340" t="s">
        <v>108</v>
      </c>
      <c r="D12" s="339" t="s">
        <v>106</v>
      </c>
      <c r="E12" s="340" t="s">
        <v>109</v>
      </c>
      <c r="F12" s="340">
        <v>0.0272</v>
      </c>
      <c r="G12" s="341">
        <f>O12*0.25</f>
        <v>74.1575</v>
      </c>
      <c r="H12" s="342">
        <f>O12-G12</f>
        <v>222.4725</v>
      </c>
      <c r="I12" s="342">
        <f>F12*G12</f>
        <v>2.0170839999999997</v>
      </c>
      <c r="J12" s="342">
        <f>F12*H12</f>
        <v>6.051252</v>
      </c>
      <c r="K12" s="343">
        <f>I12+J12</f>
        <v>8.068335999999999</v>
      </c>
      <c r="O12" s="63">
        <v>296.63</v>
      </c>
    </row>
    <row r="13" spans="2:15" ht="22.5">
      <c r="B13" s="346" t="s">
        <v>114</v>
      </c>
      <c r="C13" s="340" t="s">
        <v>108</v>
      </c>
      <c r="D13" s="339" t="s">
        <v>115</v>
      </c>
      <c r="E13" s="365" t="s">
        <v>109</v>
      </c>
      <c r="F13" s="365">
        <f>F12</f>
        <v>0.0272</v>
      </c>
      <c r="G13" s="341">
        <f>O13*0.25</f>
        <v>38.6625</v>
      </c>
      <c r="H13" s="342">
        <f>O13-G13</f>
        <v>115.98750000000001</v>
      </c>
      <c r="I13" s="342">
        <f>F13*G13</f>
        <v>1.05162</v>
      </c>
      <c r="J13" s="342">
        <f>F13*H13</f>
        <v>3.15486</v>
      </c>
      <c r="K13" s="343">
        <f>I13+J13</f>
        <v>4.20648</v>
      </c>
      <c r="O13" s="63">
        <v>154.65</v>
      </c>
    </row>
    <row r="14" spans="2:15" ht="33.75">
      <c r="B14" s="346" t="s">
        <v>129</v>
      </c>
      <c r="C14" s="340" t="s">
        <v>130</v>
      </c>
      <c r="D14" s="339" t="s">
        <v>131</v>
      </c>
      <c r="E14" s="365" t="s">
        <v>132</v>
      </c>
      <c r="F14" s="365">
        <v>1</v>
      </c>
      <c r="G14" s="341">
        <f>O14*0.25</f>
        <v>0.9375</v>
      </c>
      <c r="H14" s="342">
        <f>O14-G14</f>
        <v>2.8125</v>
      </c>
      <c r="I14" s="342">
        <f>F14*G14</f>
        <v>0.9375</v>
      </c>
      <c r="J14" s="342">
        <f>F14*H14</f>
        <v>2.8125</v>
      </c>
      <c r="K14" s="343">
        <f>I14+J14</f>
        <v>3.75</v>
      </c>
      <c r="O14" s="63">
        <v>3.75</v>
      </c>
    </row>
    <row r="15" spans="2:11" ht="12.75">
      <c r="B15" s="346"/>
      <c r="C15" s="347"/>
      <c r="D15" s="348" t="s">
        <v>6</v>
      </c>
      <c r="E15" s="349"/>
      <c r="F15" s="349"/>
      <c r="G15" s="342"/>
      <c r="H15" s="342"/>
      <c r="I15" s="342"/>
      <c r="J15" s="342"/>
      <c r="K15" s="343">
        <f>SUM(K12:K14)</f>
        <v>16.024815999999998</v>
      </c>
    </row>
    <row r="16" spans="2:11" ht="12.75">
      <c r="B16" s="350"/>
      <c r="C16" s="351"/>
      <c r="D16" s="351"/>
      <c r="E16" s="351"/>
      <c r="F16" s="351"/>
      <c r="G16" s="352"/>
      <c r="H16" s="352"/>
      <c r="I16" s="352"/>
      <c r="J16" s="352"/>
      <c r="K16" s="353"/>
    </row>
    <row r="17" spans="2:11" ht="12.75">
      <c r="B17" s="350"/>
      <c r="C17" s="351"/>
      <c r="D17" s="351" t="str">
        <f>'COMP.6'!D19</f>
        <v>Augusto Pestana, 22 de janeiro de 2018.</v>
      </c>
      <c r="E17" s="351"/>
      <c r="F17" s="351"/>
      <c r="G17" s="352"/>
      <c r="H17" s="352"/>
      <c r="I17" s="354" t="s">
        <v>44</v>
      </c>
      <c r="J17" s="354"/>
      <c r="K17" s="355">
        <f>SUM(I12:I14)</f>
        <v>4.006203999999999</v>
      </c>
    </row>
    <row r="18" spans="2:11" ht="13.5" thickBot="1">
      <c r="B18" s="356"/>
      <c r="C18" s="357"/>
      <c r="D18" s="358"/>
      <c r="E18" s="358"/>
      <c r="F18" s="358"/>
      <c r="G18" s="359"/>
      <c r="H18" s="359"/>
      <c r="I18" s="360" t="s">
        <v>26</v>
      </c>
      <c r="J18" s="360"/>
      <c r="K18" s="361">
        <f>SUM(J12:J14)</f>
        <v>12.018612000000001</v>
      </c>
    </row>
    <row r="19" spans="2:11" ht="12.75">
      <c r="B19" s="332"/>
      <c r="C19" s="332"/>
      <c r="D19" s="362"/>
      <c r="E19" s="362"/>
      <c r="F19" s="362"/>
      <c r="G19" s="363"/>
      <c r="H19" s="363"/>
      <c r="I19" s="364" t="s">
        <v>6</v>
      </c>
      <c r="J19" s="364"/>
      <c r="K19" s="364">
        <f>SUM(K17:K18)</f>
        <v>16.024816</v>
      </c>
    </row>
    <row r="23" spans="7:8" ht="12.75" hidden="1">
      <c r="G23" t="s">
        <v>23</v>
      </c>
      <c r="H23" t="s">
        <v>24</v>
      </c>
    </row>
    <row r="24" spans="7:8" ht="12.75" hidden="1">
      <c r="G24">
        <v>27</v>
      </c>
      <c r="H24">
        <v>25</v>
      </c>
    </row>
  </sheetData>
  <sheetProtection/>
  <mergeCells count="1">
    <mergeCell ref="B9:K9"/>
  </mergeCells>
  <conditionalFormatting sqref="E12:G12">
    <cfRule type="expression" priority="6" dxfId="0" stopIfTrue="1">
      <formula>$K12=1</formula>
    </cfRule>
  </conditionalFormatting>
  <conditionalFormatting sqref="C12">
    <cfRule type="expression" priority="5" dxfId="0" stopIfTrue="1">
      <formula>$K12=1</formula>
    </cfRule>
  </conditionalFormatting>
  <conditionalFormatting sqref="G14">
    <cfRule type="expression" priority="4" dxfId="0" stopIfTrue="1">
      <formula>$K14=1</formula>
    </cfRule>
  </conditionalFormatting>
  <conditionalFormatting sqref="C14">
    <cfRule type="expression" priority="3" dxfId="0" stopIfTrue="1">
      <formula>$K14=1</formula>
    </cfRule>
  </conditionalFormatting>
  <conditionalFormatting sqref="G13">
    <cfRule type="expression" priority="2" dxfId="0" stopIfTrue="1">
      <formula>$K13=1</formula>
    </cfRule>
  </conditionalFormatting>
  <conditionalFormatting sqref="C13">
    <cfRule type="expression" priority="1" dxfId="0" stopIfTrue="1">
      <formula>$K13=1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26"/>
  <sheetViews>
    <sheetView zoomScale="85" zoomScaleNormal="85" zoomScaleSheetLayoutView="85" zoomScalePageLayoutView="0" workbookViewId="0" topLeftCell="A1">
      <selection activeCell="B8" sqref="B8:K22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138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5" ht="33.75">
      <c r="B12" s="346" t="s">
        <v>104</v>
      </c>
      <c r="C12" s="340" t="s">
        <v>108</v>
      </c>
      <c r="D12" s="339" t="s">
        <v>106</v>
      </c>
      <c r="E12" s="340" t="s">
        <v>109</v>
      </c>
      <c r="F12" s="340">
        <v>0.0592</v>
      </c>
      <c r="G12" s="341">
        <f>O12*0.25</f>
        <v>74.1575</v>
      </c>
      <c r="H12" s="342">
        <f>O12-G12</f>
        <v>222.4725</v>
      </c>
      <c r="I12" s="342">
        <f>F12*G12</f>
        <v>4.390124</v>
      </c>
      <c r="J12" s="342">
        <f>F12*H12</f>
        <v>13.170372</v>
      </c>
      <c r="K12" s="343">
        <f>I12+J12</f>
        <v>17.560496</v>
      </c>
      <c r="O12" s="63">
        <v>296.63</v>
      </c>
    </row>
    <row r="13" spans="2:15" ht="22.5">
      <c r="B13" s="346" t="s">
        <v>114</v>
      </c>
      <c r="C13" s="340" t="s">
        <v>108</v>
      </c>
      <c r="D13" s="339" t="s">
        <v>115</v>
      </c>
      <c r="E13" s="365" t="s">
        <v>109</v>
      </c>
      <c r="F13" s="365">
        <f>F12</f>
        <v>0.0592</v>
      </c>
      <c r="G13" s="341">
        <f>O13*0.25</f>
        <v>38.6625</v>
      </c>
      <c r="H13" s="342">
        <f>O13-G13</f>
        <v>115.98750000000001</v>
      </c>
      <c r="I13" s="342">
        <f>F13*G13</f>
        <v>2.2888200000000003</v>
      </c>
      <c r="J13" s="342">
        <f>F13*H13</f>
        <v>6.866460000000001</v>
      </c>
      <c r="K13" s="343">
        <f>I13+J13</f>
        <v>9.155280000000001</v>
      </c>
      <c r="O13" s="63">
        <v>154.65</v>
      </c>
    </row>
    <row r="14" spans="2:15" ht="48.75" customHeight="1">
      <c r="B14" s="346" t="s">
        <v>139</v>
      </c>
      <c r="C14" s="340" t="s">
        <v>108</v>
      </c>
      <c r="D14" s="339" t="s">
        <v>140</v>
      </c>
      <c r="E14" s="365" t="s">
        <v>19</v>
      </c>
      <c r="F14" s="365">
        <f>1*0.4</f>
        <v>0.4</v>
      </c>
      <c r="G14" s="341">
        <f>O14*0.25</f>
        <v>8.0625</v>
      </c>
      <c r="H14" s="342">
        <f>O14-G14</f>
        <v>24.1875</v>
      </c>
      <c r="I14" s="342">
        <f>F14*G14</f>
        <v>3.225</v>
      </c>
      <c r="J14" s="342">
        <f>F14*H14</f>
        <v>9.675</v>
      </c>
      <c r="K14" s="343">
        <f>I14+J14</f>
        <v>12.9</v>
      </c>
      <c r="O14" s="63">
        <v>32.25</v>
      </c>
    </row>
    <row r="15" spans="2:15" ht="45">
      <c r="B15" s="346" t="s">
        <v>105</v>
      </c>
      <c r="C15" s="340" t="s">
        <v>108</v>
      </c>
      <c r="D15" s="339" t="s">
        <v>107</v>
      </c>
      <c r="E15" s="365" t="s">
        <v>22</v>
      </c>
      <c r="F15" s="365">
        <f>4*0.617</f>
        <v>2.468</v>
      </c>
      <c r="G15" s="341">
        <f>O15*0.25</f>
        <v>2.0175</v>
      </c>
      <c r="H15" s="342">
        <f>O15-G15</f>
        <v>6.0525</v>
      </c>
      <c r="I15" s="342">
        <f>F15*G15</f>
        <v>4.97919</v>
      </c>
      <c r="J15" s="342">
        <f>F15*H15</f>
        <v>14.937570000000001</v>
      </c>
      <c r="K15" s="343">
        <f>I15+J15</f>
        <v>19.91676</v>
      </c>
      <c r="O15" s="63">
        <v>8.07</v>
      </c>
    </row>
    <row r="16" spans="2:15" ht="45">
      <c r="B16" s="346" t="s">
        <v>119</v>
      </c>
      <c r="C16" s="340" t="s">
        <v>108</v>
      </c>
      <c r="D16" s="339" t="s">
        <v>120</v>
      </c>
      <c r="E16" s="365" t="s">
        <v>22</v>
      </c>
      <c r="F16" s="365">
        <f>5*1.12*0.154</f>
        <v>0.8624</v>
      </c>
      <c r="G16" s="341">
        <f>O16*0.25</f>
        <v>3.0675</v>
      </c>
      <c r="H16" s="342">
        <f>O16-G16</f>
        <v>9.2025</v>
      </c>
      <c r="I16" s="342">
        <f>F16*G16</f>
        <v>2.645412</v>
      </c>
      <c r="J16" s="342">
        <f>F16*H16</f>
        <v>7.936236000000001</v>
      </c>
      <c r="K16" s="343">
        <f>I16+J16</f>
        <v>10.581648000000001</v>
      </c>
      <c r="O16" s="63">
        <v>12.27</v>
      </c>
    </row>
    <row r="17" spans="2:11" ht="12.75">
      <c r="B17" s="346"/>
      <c r="C17" s="347"/>
      <c r="D17" s="348" t="s">
        <v>6</v>
      </c>
      <c r="E17" s="349"/>
      <c r="F17" s="349"/>
      <c r="G17" s="342"/>
      <c r="H17" s="342"/>
      <c r="I17" s="342"/>
      <c r="J17" s="342"/>
      <c r="K17" s="343">
        <f>SUM(K12:K16)</f>
        <v>70.11418400000001</v>
      </c>
    </row>
    <row r="18" spans="2:11" ht="12.75">
      <c r="B18" s="350"/>
      <c r="C18" s="351"/>
      <c r="D18" s="351"/>
      <c r="E18" s="351"/>
      <c r="F18" s="351"/>
      <c r="G18" s="352"/>
      <c r="H18" s="352"/>
      <c r="I18" s="352"/>
      <c r="J18" s="352"/>
      <c r="K18" s="353"/>
    </row>
    <row r="19" spans="2:11" ht="12.75">
      <c r="B19" s="350"/>
      <c r="C19" s="351"/>
      <c r="D19" s="351" t="str">
        <f>'COMP.6'!D19</f>
        <v>Augusto Pestana, 22 de janeiro de 2018.</v>
      </c>
      <c r="E19" s="351"/>
      <c r="F19" s="351"/>
      <c r="G19" s="352"/>
      <c r="H19" s="352"/>
      <c r="I19" s="354" t="s">
        <v>44</v>
      </c>
      <c r="J19" s="354"/>
      <c r="K19" s="355">
        <f>SUM(I12:I16)</f>
        <v>17.528546000000002</v>
      </c>
    </row>
    <row r="20" spans="2:11" ht="13.5" thickBot="1">
      <c r="B20" s="356"/>
      <c r="C20" s="357"/>
      <c r="D20" s="358"/>
      <c r="E20" s="358"/>
      <c r="F20" s="358"/>
      <c r="G20" s="359"/>
      <c r="H20" s="359"/>
      <c r="I20" s="360" t="s">
        <v>26</v>
      </c>
      <c r="J20" s="360"/>
      <c r="K20" s="361">
        <f>SUM(J12:J16)</f>
        <v>52.585638</v>
      </c>
    </row>
    <row r="21" spans="2:11" ht="12.75">
      <c r="B21" s="332"/>
      <c r="C21" s="332"/>
      <c r="D21" s="362"/>
      <c r="E21" s="362"/>
      <c r="F21" s="362"/>
      <c r="G21" s="363"/>
      <c r="H21" s="363"/>
      <c r="I21" s="364" t="s">
        <v>6</v>
      </c>
      <c r="J21" s="364"/>
      <c r="K21" s="364">
        <f>SUM(K19:K20)</f>
        <v>70.11418400000001</v>
      </c>
    </row>
    <row r="22" spans="2:11" ht="12.75">
      <c r="B22" s="332"/>
      <c r="C22" s="332"/>
      <c r="D22" s="332"/>
      <c r="E22" s="332"/>
      <c r="F22" s="332"/>
      <c r="G22" s="332"/>
      <c r="H22" s="332"/>
      <c r="I22" s="332"/>
      <c r="J22" s="332"/>
      <c r="K22" s="332"/>
    </row>
    <row r="25" spans="7:8" ht="12.75" hidden="1">
      <c r="G25" t="s">
        <v>23</v>
      </c>
      <c r="H25" t="s">
        <v>24</v>
      </c>
    </row>
    <row r="26" spans="7:8" ht="12.75" hidden="1">
      <c r="G26">
        <v>27</v>
      </c>
      <c r="H26">
        <v>25</v>
      </c>
    </row>
  </sheetData>
  <sheetProtection/>
  <mergeCells count="1">
    <mergeCell ref="B9:K9"/>
  </mergeCells>
  <conditionalFormatting sqref="E12:G12">
    <cfRule type="expression" priority="13" dxfId="0" stopIfTrue="1">
      <formula>$K12=1</formula>
    </cfRule>
  </conditionalFormatting>
  <conditionalFormatting sqref="C12">
    <cfRule type="expression" priority="12" dxfId="0" stopIfTrue="1">
      <formula>$K12=1</formula>
    </cfRule>
  </conditionalFormatting>
  <conditionalFormatting sqref="G14">
    <cfRule type="expression" priority="11" dxfId="0" stopIfTrue="1">
      <formula>$K14=1</formula>
    </cfRule>
  </conditionalFormatting>
  <conditionalFormatting sqref="C14">
    <cfRule type="expression" priority="9" dxfId="0" stopIfTrue="1">
      <formula>$K14=1</formula>
    </cfRule>
  </conditionalFormatting>
  <conditionalFormatting sqref="G15">
    <cfRule type="expression" priority="7" dxfId="0" stopIfTrue="1">
      <formula>$K15=1</formula>
    </cfRule>
  </conditionalFormatting>
  <conditionalFormatting sqref="C15">
    <cfRule type="expression" priority="6" dxfId="0" stopIfTrue="1">
      <formula>$K15=1</formula>
    </cfRule>
  </conditionalFormatting>
  <conditionalFormatting sqref="G16">
    <cfRule type="expression" priority="4" dxfId="0" stopIfTrue="1">
      <formula>$K16=1</formula>
    </cfRule>
  </conditionalFormatting>
  <conditionalFormatting sqref="C16">
    <cfRule type="expression" priority="3" dxfId="0" stopIfTrue="1">
      <formula>$K16=1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24"/>
  <sheetViews>
    <sheetView zoomScale="85" zoomScaleNormal="85" zoomScaleSheetLayoutView="85" zoomScalePageLayoutView="0" workbookViewId="0" topLeftCell="A1">
      <selection activeCell="B8" sqref="B8:K20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246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5" ht="33.75">
      <c r="B12" s="346" t="s">
        <v>243</v>
      </c>
      <c r="C12" s="340" t="s">
        <v>108</v>
      </c>
      <c r="D12" s="339" t="s">
        <v>244</v>
      </c>
      <c r="E12" s="340" t="s">
        <v>109</v>
      </c>
      <c r="F12" s="340">
        <v>0.024</v>
      </c>
      <c r="G12" s="341">
        <f>O12*0.25</f>
        <v>79.7175</v>
      </c>
      <c r="H12" s="342">
        <f>O12-G12</f>
        <v>239.1525</v>
      </c>
      <c r="I12" s="342">
        <f>F12*G12</f>
        <v>1.9132200000000001</v>
      </c>
      <c r="J12" s="342">
        <f>F12*H12</f>
        <v>5.73966</v>
      </c>
      <c r="K12" s="343">
        <f>I12+J12</f>
        <v>7.65288</v>
      </c>
      <c r="O12" s="63">
        <v>318.87</v>
      </c>
    </row>
    <row r="13" spans="2:15" ht="22.5">
      <c r="B13" s="346" t="s">
        <v>114</v>
      </c>
      <c r="C13" s="340" t="s">
        <v>108</v>
      </c>
      <c r="D13" s="339" t="s">
        <v>115</v>
      </c>
      <c r="E13" s="365" t="s">
        <v>109</v>
      </c>
      <c r="F13" s="365">
        <f>F12</f>
        <v>0.024</v>
      </c>
      <c r="G13" s="341">
        <f>O13*0.25</f>
        <v>38.6625</v>
      </c>
      <c r="H13" s="342">
        <f>O13-G13</f>
        <v>115.98750000000001</v>
      </c>
      <c r="I13" s="342">
        <f>F13*G13</f>
        <v>0.9279000000000001</v>
      </c>
      <c r="J13" s="342">
        <f>F13*H13</f>
        <v>2.7837000000000005</v>
      </c>
      <c r="K13" s="343">
        <f>I13+J13</f>
        <v>3.7116000000000007</v>
      </c>
      <c r="O13" s="63">
        <v>154.65</v>
      </c>
    </row>
    <row r="14" spans="2:15" ht="33.75">
      <c r="B14" s="346" t="s">
        <v>129</v>
      </c>
      <c r="C14" s="340" t="s">
        <v>130</v>
      </c>
      <c r="D14" s="339" t="s">
        <v>131</v>
      </c>
      <c r="E14" s="365" t="s">
        <v>132</v>
      </c>
      <c r="F14" s="365">
        <v>1</v>
      </c>
      <c r="G14" s="341">
        <f>O14*0.25</f>
        <v>0.9375</v>
      </c>
      <c r="H14" s="342">
        <f>O14-G14</f>
        <v>2.8125</v>
      </c>
      <c r="I14" s="342">
        <f>F14*G14</f>
        <v>0.9375</v>
      </c>
      <c r="J14" s="342">
        <f>F14*H14</f>
        <v>2.8125</v>
      </c>
      <c r="K14" s="343">
        <f>I14+J14</f>
        <v>3.75</v>
      </c>
      <c r="O14" s="63">
        <v>3.75</v>
      </c>
    </row>
    <row r="15" spans="2:11" ht="12.75">
      <c r="B15" s="346"/>
      <c r="C15" s="347"/>
      <c r="D15" s="348" t="s">
        <v>6</v>
      </c>
      <c r="E15" s="349"/>
      <c r="F15" s="349"/>
      <c r="G15" s="342"/>
      <c r="H15" s="342"/>
      <c r="I15" s="342"/>
      <c r="J15" s="342"/>
      <c r="K15" s="343">
        <f>SUM(K12:K14)</f>
        <v>15.11448</v>
      </c>
    </row>
    <row r="16" spans="2:11" ht="12.75">
      <c r="B16" s="350"/>
      <c r="C16" s="351"/>
      <c r="D16" s="351"/>
      <c r="E16" s="351"/>
      <c r="F16" s="351"/>
      <c r="G16" s="352"/>
      <c r="H16" s="352"/>
      <c r="I16" s="352"/>
      <c r="J16" s="352"/>
      <c r="K16" s="353"/>
    </row>
    <row r="17" spans="2:11" ht="12.75">
      <c r="B17" s="350"/>
      <c r="C17" s="351"/>
      <c r="D17" s="351" t="str">
        <f>'COMP.6'!D19</f>
        <v>Augusto Pestana, 22 de janeiro de 2018.</v>
      </c>
      <c r="E17" s="351"/>
      <c r="F17" s="351"/>
      <c r="G17" s="352"/>
      <c r="H17" s="352"/>
      <c r="I17" s="354" t="s">
        <v>44</v>
      </c>
      <c r="J17" s="354"/>
      <c r="K17" s="355">
        <f>SUM(I12:I14)</f>
        <v>3.77862</v>
      </c>
    </row>
    <row r="18" spans="2:11" ht="13.5" thickBot="1">
      <c r="B18" s="356"/>
      <c r="C18" s="357"/>
      <c r="D18" s="358"/>
      <c r="E18" s="358"/>
      <c r="F18" s="358"/>
      <c r="G18" s="359"/>
      <c r="H18" s="359"/>
      <c r="I18" s="360" t="s">
        <v>26</v>
      </c>
      <c r="J18" s="360"/>
      <c r="K18" s="361">
        <f>SUM(J12:J14)</f>
        <v>11.33586</v>
      </c>
    </row>
    <row r="19" spans="2:11" ht="12.75">
      <c r="B19" s="332"/>
      <c r="C19" s="332"/>
      <c r="D19" s="362"/>
      <c r="E19" s="362"/>
      <c r="F19" s="362"/>
      <c r="G19" s="363"/>
      <c r="H19" s="363"/>
      <c r="I19" s="364" t="s">
        <v>6</v>
      </c>
      <c r="J19" s="364"/>
      <c r="K19" s="364">
        <f>SUM(K17:K18)</f>
        <v>15.11448</v>
      </c>
    </row>
    <row r="20" spans="2:11" ht="12.75">
      <c r="B20" s="332"/>
      <c r="C20" s="332"/>
      <c r="D20" s="332"/>
      <c r="E20" s="332"/>
      <c r="F20" s="332"/>
      <c r="G20" s="332"/>
      <c r="H20" s="332"/>
      <c r="I20" s="332"/>
      <c r="J20" s="332"/>
      <c r="K20" s="332"/>
    </row>
    <row r="23" spans="7:8" ht="12.75" hidden="1">
      <c r="G23" t="s">
        <v>23</v>
      </c>
      <c r="H23" t="s">
        <v>24</v>
      </c>
    </row>
    <row r="24" spans="7:8" ht="12.75" hidden="1">
      <c r="G24">
        <v>27</v>
      </c>
      <c r="H24">
        <v>25</v>
      </c>
    </row>
  </sheetData>
  <sheetProtection/>
  <mergeCells count="1">
    <mergeCell ref="B9:K9"/>
  </mergeCells>
  <conditionalFormatting sqref="E12:G12">
    <cfRule type="expression" priority="9" dxfId="0" stopIfTrue="1">
      <formula>$K12=1</formula>
    </cfRule>
  </conditionalFormatting>
  <conditionalFormatting sqref="C12">
    <cfRule type="expression" priority="8" dxfId="0" stopIfTrue="1">
      <formula>$K12=1</formula>
    </cfRule>
  </conditionalFormatting>
  <conditionalFormatting sqref="G14">
    <cfRule type="expression" priority="5" dxfId="0" stopIfTrue="1">
      <formula>$K14=1</formula>
    </cfRule>
  </conditionalFormatting>
  <conditionalFormatting sqref="C14">
    <cfRule type="expression" priority="4" dxfId="0" stopIfTrue="1">
      <formula>$K14=1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40"/>
  <sheetViews>
    <sheetView view="pageBreakPreview" zoomScale="85" zoomScaleNormal="85" zoomScaleSheetLayoutView="85" zoomScalePageLayoutView="0" workbookViewId="0" topLeftCell="A1">
      <selection activeCell="B8" sqref="B8:K23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151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1" ht="12.75">
      <c r="B12" s="339"/>
      <c r="C12" s="340" t="s">
        <v>17</v>
      </c>
      <c r="D12" s="339" t="s">
        <v>152</v>
      </c>
      <c r="E12" s="340" t="s">
        <v>22</v>
      </c>
      <c r="F12" s="340">
        <v>86.9</v>
      </c>
      <c r="G12" s="341">
        <f>4.35*0.25</f>
        <v>1.0875</v>
      </c>
      <c r="H12" s="342">
        <f>4.35*0.75</f>
        <v>3.2624999999999997</v>
      </c>
      <c r="I12" s="342">
        <f>F12*G12</f>
        <v>94.50375</v>
      </c>
      <c r="J12" s="342">
        <f>F12*H12</f>
        <v>283.51125</v>
      </c>
      <c r="K12" s="343">
        <f>I12+J12</f>
        <v>378.015</v>
      </c>
    </row>
    <row r="13" spans="2:11" ht="36.75" customHeight="1">
      <c r="B13" s="339"/>
      <c r="C13" s="344" t="s">
        <v>17</v>
      </c>
      <c r="D13" s="339" t="s">
        <v>153</v>
      </c>
      <c r="E13" s="340" t="s">
        <v>22</v>
      </c>
      <c r="F13" s="345">
        <v>27.92</v>
      </c>
      <c r="G13" s="341">
        <f>4.35*0.25</f>
        <v>1.0875</v>
      </c>
      <c r="H13" s="342">
        <f>4.35*0.75</f>
        <v>3.2624999999999997</v>
      </c>
      <c r="I13" s="342">
        <f>F13*G13</f>
        <v>30.363</v>
      </c>
      <c r="J13" s="342">
        <f>F13*H13</f>
        <v>91.089</v>
      </c>
      <c r="K13" s="343">
        <f>I13+J13</f>
        <v>121.452</v>
      </c>
    </row>
    <row r="14" spans="2:11" ht="47.25" customHeight="1">
      <c r="B14" s="339" t="s">
        <v>36</v>
      </c>
      <c r="C14" s="344" t="s">
        <v>17</v>
      </c>
      <c r="D14" s="339" t="s">
        <v>37</v>
      </c>
      <c r="E14" s="365" t="s">
        <v>25</v>
      </c>
      <c r="F14" s="365">
        <v>5</v>
      </c>
      <c r="G14" s="341">
        <f>15.69*0.25</f>
        <v>3.9225</v>
      </c>
      <c r="H14" s="342">
        <f>15.69*0.75</f>
        <v>11.7675</v>
      </c>
      <c r="I14" s="342">
        <f>F14*G14</f>
        <v>19.6125</v>
      </c>
      <c r="J14" s="342">
        <f>F14*H14</f>
        <v>58.8375</v>
      </c>
      <c r="K14" s="343">
        <f>I14+J14</f>
        <v>78.45</v>
      </c>
    </row>
    <row r="15" spans="2:11" ht="22.5">
      <c r="B15" s="339" t="s">
        <v>39</v>
      </c>
      <c r="C15" s="344" t="s">
        <v>17</v>
      </c>
      <c r="D15" s="339" t="s">
        <v>40</v>
      </c>
      <c r="E15" s="365" t="s">
        <v>19</v>
      </c>
      <c r="F15" s="365">
        <f>(22*(2*(0.04+0.1+0.04)))+(12.32*(2*(0.03+0.092+0.03)))</f>
        <v>11.665280000000001</v>
      </c>
      <c r="G15" s="341">
        <f>16.95*0.25</f>
        <v>4.2375</v>
      </c>
      <c r="H15" s="342">
        <f>16.95*0.75</f>
        <v>12.712499999999999</v>
      </c>
      <c r="I15" s="342">
        <f>F15*G15</f>
        <v>49.431624</v>
      </c>
      <c r="J15" s="342">
        <f>F15*H15</f>
        <v>148.294872</v>
      </c>
      <c r="K15" s="343">
        <f>I15+J15</f>
        <v>197.726496</v>
      </c>
    </row>
    <row r="16" spans="2:11" ht="22.5">
      <c r="B16" s="339" t="s">
        <v>41</v>
      </c>
      <c r="C16" s="340" t="s">
        <v>17</v>
      </c>
      <c r="D16" s="339" t="s">
        <v>42</v>
      </c>
      <c r="E16" s="340" t="s">
        <v>19</v>
      </c>
      <c r="F16" s="340">
        <f>(22*(2*(0.04+0.1+0.04)))+(12.32*(2*(0.03+0.092+0.03)))</f>
        <v>11.665280000000001</v>
      </c>
      <c r="G16" s="341">
        <f>22.68*0.25</f>
        <v>5.67</v>
      </c>
      <c r="H16" s="342">
        <f>22.68*0.75</f>
        <v>17.009999999999998</v>
      </c>
      <c r="I16" s="342">
        <f>F16*G16</f>
        <v>66.1421376</v>
      </c>
      <c r="J16" s="342">
        <f>F16*H16</f>
        <v>198.42641279999998</v>
      </c>
      <c r="K16" s="343">
        <f>I16+J16</f>
        <v>264.5685504</v>
      </c>
    </row>
    <row r="17" spans="2:11" ht="12.75">
      <c r="B17" s="346"/>
      <c r="C17" s="347"/>
      <c r="D17" s="348" t="s">
        <v>6</v>
      </c>
      <c r="E17" s="349"/>
      <c r="F17" s="349"/>
      <c r="G17" s="342"/>
      <c r="H17" s="342"/>
      <c r="I17" s="342"/>
      <c r="J17" s="342"/>
      <c r="K17" s="343">
        <f>SUM(K12:K16)</f>
        <v>1040.2120464</v>
      </c>
    </row>
    <row r="18" spans="2:11" ht="12.75">
      <c r="B18" s="350"/>
      <c r="C18" s="351"/>
      <c r="D18" s="351"/>
      <c r="E18" s="351"/>
      <c r="F18" s="351"/>
      <c r="G18" s="352"/>
      <c r="H18" s="352"/>
      <c r="I18" s="352"/>
      <c r="J18" s="352"/>
      <c r="K18" s="353"/>
    </row>
    <row r="19" spans="2:11" ht="12.75">
      <c r="B19" s="350"/>
      <c r="C19" s="351"/>
      <c r="D19" s="351" t="str">
        <f>'COMP.6'!D19</f>
        <v>Augusto Pestana, 22 de janeiro de 2018.</v>
      </c>
      <c r="E19" s="351"/>
      <c r="F19" s="351"/>
      <c r="G19" s="352"/>
      <c r="H19" s="352"/>
      <c r="I19" s="354" t="s">
        <v>44</v>
      </c>
      <c r="J19" s="354"/>
      <c r="K19" s="355">
        <f>SUM(I12:I16)</f>
        <v>260.0530116</v>
      </c>
    </row>
    <row r="20" spans="2:11" ht="13.5" thickBot="1">
      <c r="B20" s="356"/>
      <c r="C20" s="357"/>
      <c r="D20" s="358"/>
      <c r="E20" s="358"/>
      <c r="F20" s="358"/>
      <c r="G20" s="359"/>
      <c r="H20" s="359"/>
      <c r="I20" s="360" t="s">
        <v>26</v>
      </c>
      <c r="J20" s="360"/>
      <c r="K20" s="361">
        <f>SUM(J12:J16)</f>
        <v>780.1590348</v>
      </c>
    </row>
    <row r="21" spans="2:11" ht="12.75">
      <c r="B21" s="332"/>
      <c r="C21" s="332"/>
      <c r="D21" s="362"/>
      <c r="E21" s="362"/>
      <c r="F21" s="362"/>
      <c r="G21" s="363"/>
      <c r="H21" s="363"/>
      <c r="I21" s="364" t="s">
        <v>6</v>
      </c>
      <c r="J21" s="364"/>
      <c r="K21" s="364">
        <f>SUM(K19:K20)</f>
        <v>1040.2120464</v>
      </c>
    </row>
    <row r="22" spans="2:11" ht="12.75">
      <c r="B22" s="332"/>
      <c r="C22" s="332"/>
      <c r="D22" s="332"/>
      <c r="E22" s="332"/>
      <c r="F22" s="332"/>
      <c r="G22" s="332"/>
      <c r="H22" s="332"/>
      <c r="I22" s="332"/>
      <c r="J22" s="332"/>
      <c r="K22" s="332"/>
    </row>
    <row r="23" spans="2:11" ht="12.75">
      <c r="B23" s="332"/>
      <c r="C23" s="332"/>
      <c r="D23" s="332"/>
      <c r="E23" s="332"/>
      <c r="F23" s="332"/>
      <c r="G23" s="332"/>
      <c r="H23" s="332"/>
      <c r="I23" s="332"/>
      <c r="J23" s="332"/>
      <c r="K23" s="332"/>
    </row>
    <row r="25" spans="7:8" ht="12.75" hidden="1">
      <c r="G25" t="s">
        <v>23</v>
      </c>
      <c r="H25" t="s">
        <v>24</v>
      </c>
    </row>
    <row r="26" spans="7:8" ht="12.75" hidden="1">
      <c r="G26">
        <v>27</v>
      </c>
      <c r="H26">
        <v>25</v>
      </c>
    </row>
    <row r="40" ht="12.75">
      <c r="E40" t="s">
        <v>323</v>
      </c>
    </row>
  </sheetData>
  <sheetProtection/>
  <mergeCells count="1">
    <mergeCell ref="B9:K9"/>
  </mergeCells>
  <conditionalFormatting sqref="C16 E12:G12 E16:F16">
    <cfRule type="expression" priority="7" dxfId="0" stopIfTrue="1">
      <formula>$K12=1</formula>
    </cfRule>
  </conditionalFormatting>
  <conditionalFormatting sqref="C12">
    <cfRule type="expression" priority="6" dxfId="0" stopIfTrue="1">
      <formula>$K12=1</formula>
    </cfRule>
  </conditionalFormatting>
  <conditionalFormatting sqref="G13">
    <cfRule type="expression" priority="5" dxfId="0" stopIfTrue="1">
      <formula>$K13=1</formula>
    </cfRule>
  </conditionalFormatting>
  <conditionalFormatting sqref="G14">
    <cfRule type="expression" priority="4" dxfId="0" stopIfTrue="1">
      <formula>$K14=1</formula>
    </cfRule>
  </conditionalFormatting>
  <conditionalFormatting sqref="G15">
    <cfRule type="expression" priority="3" dxfId="0" stopIfTrue="1">
      <formula>$K15=1</formula>
    </cfRule>
  </conditionalFormatting>
  <conditionalFormatting sqref="G16">
    <cfRule type="expression" priority="2" dxfId="0" stopIfTrue="1">
      <formula>$K16=1</formula>
    </cfRule>
  </conditionalFormatting>
  <conditionalFormatting sqref="E13">
    <cfRule type="expression" priority="1" dxfId="0" stopIfTrue="1">
      <formula>$K13=1</formula>
    </cfRule>
  </conditionalFormatting>
  <conditionalFormatting sqref="C13:C15">
    <cfRule type="expression" priority="8" dxfId="0" stopIfTrue="1">
      <formula>'COMP.25'!#REF!=1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6"/>
  <sheetViews>
    <sheetView view="pageBreakPreview" zoomScale="85" zoomScaleNormal="85" zoomScaleSheetLayoutView="85" zoomScalePageLayoutView="0" workbookViewId="0" topLeftCell="A1">
      <selection activeCell="B8" sqref="B8:K23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154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1" ht="12.75">
      <c r="B12" s="339"/>
      <c r="C12" s="340" t="s">
        <v>17</v>
      </c>
      <c r="D12" s="339" t="s">
        <v>152</v>
      </c>
      <c r="E12" s="340" t="s">
        <v>22</v>
      </c>
      <c r="F12" s="340">
        <v>82.55</v>
      </c>
      <c r="G12" s="341">
        <f>4.35*0.25</f>
        <v>1.0875</v>
      </c>
      <c r="H12" s="342">
        <f>4.35*0.75</f>
        <v>3.2624999999999997</v>
      </c>
      <c r="I12" s="342">
        <f>F12*G12</f>
        <v>89.773125</v>
      </c>
      <c r="J12" s="342">
        <f>F12*H12</f>
        <v>269.319375</v>
      </c>
      <c r="K12" s="343">
        <f>I12+J12</f>
        <v>359.0925</v>
      </c>
    </row>
    <row r="13" spans="2:11" ht="36.75" customHeight="1">
      <c r="B13" s="339"/>
      <c r="C13" s="344" t="s">
        <v>17</v>
      </c>
      <c r="D13" s="339" t="s">
        <v>153</v>
      </c>
      <c r="E13" s="340" t="s">
        <v>22</v>
      </c>
      <c r="F13" s="345">
        <v>26.97</v>
      </c>
      <c r="G13" s="341">
        <f>4.35*0.25</f>
        <v>1.0875</v>
      </c>
      <c r="H13" s="342">
        <f>4.35*0.75</f>
        <v>3.2624999999999997</v>
      </c>
      <c r="I13" s="342">
        <f>F13*G13</f>
        <v>29.329874999999998</v>
      </c>
      <c r="J13" s="342">
        <f>F13*H13</f>
        <v>87.98962499999999</v>
      </c>
      <c r="K13" s="343">
        <f>I13+J13</f>
        <v>117.31949999999999</v>
      </c>
    </row>
    <row r="14" spans="2:11" ht="47.25" customHeight="1">
      <c r="B14" s="339" t="s">
        <v>36</v>
      </c>
      <c r="C14" s="344" t="s">
        <v>17</v>
      </c>
      <c r="D14" s="339" t="s">
        <v>37</v>
      </c>
      <c r="E14" s="365" t="s">
        <v>25</v>
      </c>
      <c r="F14" s="365">
        <v>5</v>
      </c>
      <c r="G14" s="341">
        <f>15.69*0.25</f>
        <v>3.9225</v>
      </c>
      <c r="H14" s="342">
        <f>15.69*0.75</f>
        <v>11.7675</v>
      </c>
      <c r="I14" s="342">
        <f>F14*G14</f>
        <v>19.6125</v>
      </c>
      <c r="J14" s="342">
        <f>F14*H14</f>
        <v>58.8375</v>
      </c>
      <c r="K14" s="343">
        <f>I14+J14</f>
        <v>78.45</v>
      </c>
    </row>
    <row r="15" spans="2:11" ht="22.5">
      <c r="B15" s="339" t="s">
        <v>39</v>
      </c>
      <c r="C15" s="344" t="s">
        <v>17</v>
      </c>
      <c r="D15" s="339" t="s">
        <v>40</v>
      </c>
      <c r="E15" s="365" t="s">
        <v>19</v>
      </c>
      <c r="F15" s="365">
        <f>(20.9*(2*(0.04+0.1+0.04)))+(11.9*(2*(0.03+0.092+0.03)))</f>
        <v>11.1416</v>
      </c>
      <c r="G15" s="341">
        <f>16.95*0.25</f>
        <v>4.2375</v>
      </c>
      <c r="H15" s="342">
        <f>16.95*0.75</f>
        <v>12.712499999999999</v>
      </c>
      <c r="I15" s="342">
        <f>F15*G15</f>
        <v>47.21253</v>
      </c>
      <c r="J15" s="342">
        <f>F15*H15</f>
        <v>141.63759</v>
      </c>
      <c r="K15" s="343">
        <f>I15+J15</f>
        <v>188.85012</v>
      </c>
    </row>
    <row r="16" spans="2:11" ht="22.5">
      <c r="B16" s="339" t="s">
        <v>41</v>
      </c>
      <c r="C16" s="340" t="s">
        <v>17</v>
      </c>
      <c r="D16" s="339" t="s">
        <v>42</v>
      </c>
      <c r="E16" s="340" t="s">
        <v>19</v>
      </c>
      <c r="F16" s="340">
        <f>(20.9*(2*(0.04+0.1+0.04)))+(11.9*(2*(0.03+0.092+0.03)))</f>
        <v>11.1416</v>
      </c>
      <c r="G16" s="341">
        <f>22.68*0.25</f>
        <v>5.67</v>
      </c>
      <c r="H16" s="342">
        <f>22.68*0.75</f>
        <v>17.009999999999998</v>
      </c>
      <c r="I16" s="342">
        <f>F16*G16</f>
        <v>63.172872</v>
      </c>
      <c r="J16" s="342">
        <f>F16*H16</f>
        <v>189.51861599999998</v>
      </c>
      <c r="K16" s="343">
        <f>I16+J16</f>
        <v>252.691488</v>
      </c>
    </row>
    <row r="17" spans="2:11" ht="12.75">
      <c r="B17" s="346"/>
      <c r="C17" s="347"/>
      <c r="D17" s="348" t="s">
        <v>6</v>
      </c>
      <c r="E17" s="349"/>
      <c r="F17" s="349"/>
      <c r="G17" s="342"/>
      <c r="H17" s="342"/>
      <c r="I17" s="342"/>
      <c r="J17" s="342"/>
      <c r="K17" s="343">
        <f>SUM(K12:K16)</f>
        <v>996.4036079999998</v>
      </c>
    </row>
    <row r="18" spans="2:11" ht="12.75">
      <c r="B18" s="350"/>
      <c r="C18" s="351"/>
      <c r="D18" s="351"/>
      <c r="E18" s="351"/>
      <c r="F18" s="351"/>
      <c r="G18" s="352"/>
      <c r="H18" s="352"/>
      <c r="I18" s="352"/>
      <c r="J18" s="352"/>
      <c r="K18" s="353"/>
    </row>
    <row r="19" spans="2:11" ht="12.75">
      <c r="B19" s="350"/>
      <c r="C19" s="351"/>
      <c r="D19" s="351" t="str">
        <f>'COMP.6'!D19</f>
        <v>Augusto Pestana, 22 de janeiro de 2018.</v>
      </c>
      <c r="E19" s="351"/>
      <c r="F19" s="351"/>
      <c r="G19" s="352"/>
      <c r="H19" s="352"/>
      <c r="I19" s="354" t="s">
        <v>44</v>
      </c>
      <c r="J19" s="354"/>
      <c r="K19" s="355">
        <f>SUM(I12:I16)</f>
        <v>249.10090199999996</v>
      </c>
    </row>
    <row r="20" spans="2:11" ht="13.5" thickBot="1">
      <c r="B20" s="356"/>
      <c r="C20" s="357"/>
      <c r="D20" s="358"/>
      <c r="E20" s="358"/>
      <c r="F20" s="358"/>
      <c r="G20" s="359"/>
      <c r="H20" s="359"/>
      <c r="I20" s="360" t="s">
        <v>26</v>
      </c>
      <c r="J20" s="360"/>
      <c r="K20" s="361">
        <f>SUM(J12:J16)</f>
        <v>747.3027059999998</v>
      </c>
    </row>
    <row r="21" spans="2:11" ht="12.75">
      <c r="B21" s="332"/>
      <c r="C21" s="332"/>
      <c r="D21" s="362"/>
      <c r="E21" s="362"/>
      <c r="F21" s="362"/>
      <c r="G21" s="363"/>
      <c r="H21" s="363"/>
      <c r="I21" s="364" t="s">
        <v>6</v>
      </c>
      <c r="J21" s="364"/>
      <c r="K21" s="364">
        <f>SUM(K19:K20)</f>
        <v>996.4036079999998</v>
      </c>
    </row>
    <row r="22" spans="2:11" ht="12.75">
      <c r="B22" s="332"/>
      <c r="C22" s="332"/>
      <c r="D22" s="332"/>
      <c r="E22" s="332"/>
      <c r="F22" s="332"/>
      <c r="G22" s="332"/>
      <c r="H22" s="332"/>
      <c r="I22" s="332"/>
      <c r="J22" s="332"/>
      <c r="K22" s="332"/>
    </row>
    <row r="23" spans="2:11" ht="12.75">
      <c r="B23" s="332"/>
      <c r="C23" s="332"/>
      <c r="D23" s="332"/>
      <c r="E23" s="332"/>
      <c r="F23" s="332"/>
      <c r="G23" s="332"/>
      <c r="H23" s="332"/>
      <c r="I23" s="332"/>
      <c r="J23" s="332"/>
      <c r="K23" s="332"/>
    </row>
    <row r="25" spans="7:8" ht="12.75" hidden="1">
      <c r="G25" t="s">
        <v>23</v>
      </c>
      <c r="H25" t="s">
        <v>24</v>
      </c>
    </row>
    <row r="26" spans="7:8" ht="12.75" hidden="1">
      <c r="G26">
        <v>27</v>
      </c>
      <c r="H26">
        <v>25</v>
      </c>
    </row>
  </sheetData>
  <sheetProtection/>
  <mergeCells count="1">
    <mergeCell ref="B9:K9"/>
  </mergeCells>
  <conditionalFormatting sqref="C16 E12:G12 E16:F16">
    <cfRule type="expression" priority="7" dxfId="0" stopIfTrue="1">
      <formula>$K12=1</formula>
    </cfRule>
  </conditionalFormatting>
  <conditionalFormatting sqref="C12">
    <cfRule type="expression" priority="6" dxfId="0" stopIfTrue="1">
      <formula>$K12=1</formula>
    </cfRule>
  </conditionalFormatting>
  <conditionalFormatting sqref="G13">
    <cfRule type="expression" priority="5" dxfId="0" stopIfTrue="1">
      <formula>$K13=1</formula>
    </cfRule>
  </conditionalFormatting>
  <conditionalFormatting sqref="G14">
    <cfRule type="expression" priority="4" dxfId="0" stopIfTrue="1">
      <formula>$K14=1</formula>
    </cfRule>
  </conditionalFormatting>
  <conditionalFormatting sqref="G15">
    <cfRule type="expression" priority="3" dxfId="0" stopIfTrue="1">
      <formula>$K15=1</formula>
    </cfRule>
  </conditionalFormatting>
  <conditionalFormatting sqref="G16">
    <cfRule type="expression" priority="2" dxfId="0" stopIfTrue="1">
      <formula>$K16=1</formula>
    </cfRule>
  </conditionalFormatting>
  <conditionalFormatting sqref="E13">
    <cfRule type="expression" priority="1" dxfId="0" stopIfTrue="1">
      <formula>$K13=1</formula>
    </cfRule>
  </conditionalFormatting>
  <conditionalFormatting sqref="C13:C15">
    <cfRule type="expression" priority="8" dxfId="0" stopIfTrue="1">
      <formula>'COMP.26'!#REF!=1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6"/>
  <sheetViews>
    <sheetView view="pageBreakPreview" zoomScale="85" zoomScaleNormal="85" zoomScaleSheetLayoutView="85" zoomScalePageLayoutView="0" workbookViewId="0" topLeftCell="A1">
      <selection activeCell="B8" sqref="B8:K23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155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1" ht="12.75">
      <c r="B12" s="339"/>
      <c r="C12" s="340" t="s">
        <v>17</v>
      </c>
      <c r="D12" s="339" t="s">
        <v>152</v>
      </c>
      <c r="E12" s="340" t="s">
        <v>22</v>
      </c>
      <c r="F12" s="340">
        <v>101.98</v>
      </c>
      <c r="G12" s="341">
        <f>4.35*0.25</f>
        <v>1.0875</v>
      </c>
      <c r="H12" s="342">
        <f>4.35*0.75</f>
        <v>3.2624999999999997</v>
      </c>
      <c r="I12" s="342">
        <f>F12*G12</f>
        <v>110.90325</v>
      </c>
      <c r="J12" s="342">
        <f>F12*H12</f>
        <v>332.70975</v>
      </c>
      <c r="K12" s="343">
        <f>I12+J12</f>
        <v>443.613</v>
      </c>
    </row>
    <row r="13" spans="2:11" ht="36.75" customHeight="1">
      <c r="B13" s="339"/>
      <c r="C13" s="344" t="s">
        <v>17</v>
      </c>
      <c r="D13" s="339" t="s">
        <v>153</v>
      </c>
      <c r="E13" s="340" t="s">
        <v>22</v>
      </c>
      <c r="F13" s="345">
        <v>44.33</v>
      </c>
      <c r="G13" s="341">
        <f>4.35*0.25</f>
        <v>1.0875</v>
      </c>
      <c r="H13" s="342">
        <f>4.35*0.75</f>
        <v>3.2624999999999997</v>
      </c>
      <c r="I13" s="342">
        <f>F13*G13</f>
        <v>48.20887499999999</v>
      </c>
      <c r="J13" s="342">
        <f>F13*H13</f>
        <v>144.626625</v>
      </c>
      <c r="K13" s="343">
        <f>I13+J13</f>
        <v>192.83549999999997</v>
      </c>
    </row>
    <row r="14" spans="2:11" ht="47.25" customHeight="1">
      <c r="B14" s="339" t="s">
        <v>36</v>
      </c>
      <c r="C14" s="344" t="s">
        <v>17</v>
      </c>
      <c r="D14" s="339" t="s">
        <v>37</v>
      </c>
      <c r="E14" s="365" t="s">
        <v>25</v>
      </c>
      <c r="F14" s="365">
        <v>6</v>
      </c>
      <c r="G14" s="341">
        <f>15.69*0.25</f>
        <v>3.9225</v>
      </c>
      <c r="H14" s="342">
        <f>15.69*0.75</f>
        <v>11.7675</v>
      </c>
      <c r="I14" s="342">
        <f>F14*G14</f>
        <v>23.535</v>
      </c>
      <c r="J14" s="342">
        <f>F14*H14</f>
        <v>70.605</v>
      </c>
      <c r="K14" s="343">
        <f>I14+J14</f>
        <v>94.14</v>
      </c>
    </row>
    <row r="15" spans="2:11" ht="22.5">
      <c r="B15" s="339" t="s">
        <v>39</v>
      </c>
      <c r="C15" s="344" t="s">
        <v>17</v>
      </c>
      <c r="D15" s="339" t="s">
        <v>40</v>
      </c>
      <c r="E15" s="365" t="s">
        <v>19</v>
      </c>
      <c r="F15" s="365">
        <f>(29*(2*(0.04+0.1+0.04)))+(17.5*(2*(0.03+0.092+0.03)))</f>
        <v>15.760000000000002</v>
      </c>
      <c r="G15" s="341">
        <f>16.95*0.25</f>
        <v>4.2375</v>
      </c>
      <c r="H15" s="342">
        <f>16.95*0.75</f>
        <v>12.712499999999999</v>
      </c>
      <c r="I15" s="342">
        <f>F15*G15</f>
        <v>66.783</v>
      </c>
      <c r="J15" s="342">
        <f>F15*H15</f>
        <v>200.349</v>
      </c>
      <c r="K15" s="343">
        <f>I15+J15</f>
        <v>267.132</v>
      </c>
    </row>
    <row r="16" spans="2:11" ht="22.5">
      <c r="B16" s="339" t="s">
        <v>41</v>
      </c>
      <c r="C16" s="340" t="s">
        <v>17</v>
      </c>
      <c r="D16" s="339" t="s">
        <v>42</v>
      </c>
      <c r="E16" s="340" t="s">
        <v>19</v>
      </c>
      <c r="F16" s="340">
        <f>(29*(2*(0.04+0.1+0.04)))+(17.5*(2*(0.03+0.092+0.03)))</f>
        <v>15.760000000000002</v>
      </c>
      <c r="G16" s="341">
        <f>22.68*0.25</f>
        <v>5.67</v>
      </c>
      <c r="H16" s="342">
        <f>22.68*0.75</f>
        <v>17.009999999999998</v>
      </c>
      <c r="I16" s="342">
        <f>F16*G16</f>
        <v>89.3592</v>
      </c>
      <c r="J16" s="342">
        <f>F16*H16</f>
        <v>268.0776</v>
      </c>
      <c r="K16" s="343">
        <f>I16+J16</f>
        <v>357.4368</v>
      </c>
    </row>
    <row r="17" spans="2:11" ht="12.75">
      <c r="B17" s="346"/>
      <c r="C17" s="347"/>
      <c r="D17" s="348" t="s">
        <v>6</v>
      </c>
      <c r="E17" s="349"/>
      <c r="F17" s="349"/>
      <c r="G17" s="342"/>
      <c r="H17" s="342"/>
      <c r="I17" s="342"/>
      <c r="J17" s="342"/>
      <c r="K17" s="343">
        <f>SUM(K12:K16)</f>
        <v>1355.1572999999999</v>
      </c>
    </row>
    <row r="18" spans="2:11" ht="12.75">
      <c r="B18" s="350"/>
      <c r="C18" s="351"/>
      <c r="D18" s="351"/>
      <c r="E18" s="351"/>
      <c r="F18" s="351"/>
      <c r="G18" s="352"/>
      <c r="H18" s="352"/>
      <c r="I18" s="352"/>
      <c r="J18" s="352"/>
      <c r="K18" s="353"/>
    </row>
    <row r="19" spans="2:11" ht="12.75">
      <c r="B19" s="350"/>
      <c r="C19" s="351"/>
      <c r="D19" s="351" t="str">
        <f>'COMP.6'!D19</f>
        <v>Augusto Pestana, 22 de janeiro de 2018.</v>
      </c>
      <c r="E19" s="351"/>
      <c r="F19" s="351"/>
      <c r="G19" s="352"/>
      <c r="H19" s="352"/>
      <c r="I19" s="354" t="s">
        <v>44</v>
      </c>
      <c r="J19" s="354"/>
      <c r="K19" s="355">
        <f>SUM(I12:I16)</f>
        <v>338.78932499999996</v>
      </c>
    </row>
    <row r="20" spans="2:11" ht="13.5" thickBot="1">
      <c r="B20" s="356"/>
      <c r="C20" s="357"/>
      <c r="D20" s="358"/>
      <c r="E20" s="358"/>
      <c r="F20" s="358"/>
      <c r="G20" s="359"/>
      <c r="H20" s="359"/>
      <c r="I20" s="360" t="s">
        <v>26</v>
      </c>
      <c r="J20" s="360"/>
      <c r="K20" s="361">
        <f>SUM(J12:J16)</f>
        <v>1016.3679750000001</v>
      </c>
    </row>
    <row r="21" spans="2:11" ht="12.75">
      <c r="B21" s="332"/>
      <c r="C21" s="332"/>
      <c r="D21" s="362"/>
      <c r="E21" s="362"/>
      <c r="F21" s="362"/>
      <c r="G21" s="363"/>
      <c r="H21" s="363"/>
      <c r="I21" s="364" t="s">
        <v>6</v>
      </c>
      <c r="J21" s="364"/>
      <c r="K21" s="364">
        <f>SUM(K19:K20)</f>
        <v>1355.1573</v>
      </c>
    </row>
    <row r="22" spans="2:11" ht="12.75">
      <c r="B22" s="332"/>
      <c r="C22" s="332"/>
      <c r="D22" s="332"/>
      <c r="E22" s="332"/>
      <c r="F22" s="332"/>
      <c r="G22" s="332"/>
      <c r="H22" s="332"/>
      <c r="I22" s="332"/>
      <c r="J22" s="332"/>
      <c r="K22" s="332"/>
    </row>
    <row r="23" spans="2:11" ht="12.75">
      <c r="B23" s="332"/>
      <c r="C23" s="332"/>
      <c r="D23" s="332"/>
      <c r="E23" s="332"/>
      <c r="F23" s="332"/>
      <c r="G23" s="332"/>
      <c r="H23" s="332"/>
      <c r="I23" s="332"/>
      <c r="J23" s="332"/>
      <c r="K23" s="332"/>
    </row>
    <row r="25" spans="7:8" ht="12.75" hidden="1">
      <c r="G25" t="s">
        <v>23</v>
      </c>
      <c r="H25" t="s">
        <v>24</v>
      </c>
    </row>
    <row r="26" spans="7:8" ht="12.75" hidden="1">
      <c r="G26">
        <v>27</v>
      </c>
      <c r="H26">
        <v>25</v>
      </c>
    </row>
  </sheetData>
  <sheetProtection/>
  <mergeCells count="1">
    <mergeCell ref="B9:K9"/>
  </mergeCells>
  <conditionalFormatting sqref="C16 E12:G12 E16:F16">
    <cfRule type="expression" priority="7" dxfId="0" stopIfTrue="1">
      <formula>$K12=1</formula>
    </cfRule>
  </conditionalFormatting>
  <conditionalFormatting sqref="C12">
    <cfRule type="expression" priority="6" dxfId="0" stopIfTrue="1">
      <formula>$K12=1</formula>
    </cfRule>
  </conditionalFormatting>
  <conditionalFormatting sqref="G13">
    <cfRule type="expression" priority="5" dxfId="0" stopIfTrue="1">
      <formula>$K13=1</formula>
    </cfRule>
  </conditionalFormatting>
  <conditionalFormatting sqref="G14">
    <cfRule type="expression" priority="4" dxfId="0" stopIfTrue="1">
      <formula>$K14=1</formula>
    </cfRule>
  </conditionalFormatting>
  <conditionalFormatting sqref="G15">
    <cfRule type="expression" priority="3" dxfId="0" stopIfTrue="1">
      <formula>$K15=1</formula>
    </cfRule>
  </conditionalFormatting>
  <conditionalFormatting sqref="G16">
    <cfRule type="expression" priority="2" dxfId="0" stopIfTrue="1">
      <formula>$K16=1</formula>
    </cfRule>
  </conditionalFormatting>
  <conditionalFormatting sqref="E13">
    <cfRule type="expression" priority="1" dxfId="0" stopIfTrue="1">
      <formula>$K13=1</formula>
    </cfRule>
  </conditionalFormatting>
  <conditionalFormatting sqref="C13:C15">
    <cfRule type="expression" priority="8" dxfId="0" stopIfTrue="1">
      <formula>'COMP.27'!#REF!=1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24"/>
  <sheetViews>
    <sheetView view="pageBreakPreview" zoomScale="85" zoomScaleNormal="85" zoomScaleSheetLayoutView="85" zoomScalePageLayoutView="0" workbookViewId="0" topLeftCell="A1">
      <selection activeCell="N22" sqref="N22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ht="13.5" thickBot="1"/>
    <row r="9" spans="2:11" ht="12.75">
      <c r="B9" s="392" t="s">
        <v>763</v>
      </c>
      <c r="C9" s="393"/>
      <c r="D9" s="393"/>
      <c r="E9" s="393"/>
      <c r="F9" s="393"/>
      <c r="G9" s="393"/>
      <c r="H9" s="393"/>
      <c r="I9" s="393"/>
      <c r="J9" s="393"/>
      <c r="K9" s="394"/>
    </row>
    <row r="10" spans="2:11" ht="12.75">
      <c r="B10" s="33"/>
      <c r="C10" s="34"/>
      <c r="D10" s="34"/>
      <c r="E10" s="34"/>
      <c r="F10" s="34"/>
      <c r="G10" s="34"/>
      <c r="H10" s="34"/>
      <c r="I10" s="34"/>
      <c r="J10" s="34"/>
      <c r="K10" s="35"/>
    </row>
    <row r="11" spans="2:11" ht="42.75">
      <c r="B11" s="61" t="s">
        <v>20</v>
      </c>
      <c r="C11" s="59" t="s">
        <v>18</v>
      </c>
      <c r="D11" s="59" t="s">
        <v>0</v>
      </c>
      <c r="E11" s="59" t="s">
        <v>21</v>
      </c>
      <c r="F11" s="59" t="s">
        <v>43</v>
      </c>
      <c r="G11" s="59" t="s">
        <v>53</v>
      </c>
      <c r="H11" s="59" t="s">
        <v>54</v>
      </c>
      <c r="I11" s="59" t="s">
        <v>55</v>
      </c>
      <c r="J11" s="59" t="s">
        <v>56</v>
      </c>
      <c r="K11" s="60" t="s">
        <v>6</v>
      </c>
    </row>
    <row r="12" spans="2:15" ht="42.75">
      <c r="B12" s="104" t="s">
        <v>762</v>
      </c>
      <c r="C12" s="8" t="s">
        <v>17</v>
      </c>
      <c r="D12" s="48" t="s">
        <v>761</v>
      </c>
      <c r="E12" s="8" t="s">
        <v>19</v>
      </c>
      <c r="F12" s="8">
        <v>4</v>
      </c>
      <c r="G12" s="51">
        <v>8.05</v>
      </c>
      <c r="H12" s="52">
        <v>24.14</v>
      </c>
      <c r="I12" s="52">
        <f>F12*G12</f>
        <v>32.2</v>
      </c>
      <c r="J12" s="52">
        <f>F12*H12</f>
        <v>96.56</v>
      </c>
      <c r="K12" s="53">
        <f>I12+J12</f>
        <v>128.76</v>
      </c>
      <c r="O12">
        <v>18.84</v>
      </c>
    </row>
    <row r="13" spans="2:15" ht="36.75" customHeight="1">
      <c r="B13" s="104">
        <v>94970</v>
      </c>
      <c r="C13" s="8" t="s">
        <v>17</v>
      </c>
      <c r="D13" s="48" t="s">
        <v>760</v>
      </c>
      <c r="E13" s="8" t="s">
        <v>109</v>
      </c>
      <c r="F13" s="46">
        <v>1</v>
      </c>
      <c r="G13" s="51">
        <v>100.17</v>
      </c>
      <c r="H13" s="52">
        <v>300.51</v>
      </c>
      <c r="I13" s="52">
        <f>F13*G13</f>
        <v>100.17</v>
      </c>
      <c r="J13" s="52">
        <f>F13*H13</f>
        <v>300.51</v>
      </c>
      <c r="K13" s="53">
        <f>I13+J13</f>
        <v>400.68</v>
      </c>
      <c r="O13">
        <v>15.02</v>
      </c>
    </row>
    <row r="14" spans="2:15" ht="47.25" customHeight="1">
      <c r="B14" s="104" t="s">
        <v>759</v>
      </c>
      <c r="C14" s="8" t="s">
        <v>17</v>
      </c>
      <c r="D14" s="48" t="s">
        <v>758</v>
      </c>
      <c r="E14" s="9" t="s">
        <v>109</v>
      </c>
      <c r="F14" s="9">
        <v>1</v>
      </c>
      <c r="G14" s="51">
        <v>147.71</v>
      </c>
      <c r="H14" s="52">
        <v>443.12</v>
      </c>
      <c r="I14" s="52">
        <f>F14*G14</f>
        <v>147.71</v>
      </c>
      <c r="J14" s="52">
        <f>F14*H14</f>
        <v>443.12</v>
      </c>
      <c r="K14" s="53">
        <f>I14+J14</f>
        <v>590.83</v>
      </c>
      <c r="O14">
        <v>47.05</v>
      </c>
    </row>
    <row r="15" spans="2:11" ht="14.25">
      <c r="B15" s="49"/>
      <c r="C15" s="50"/>
      <c r="D15" s="47" t="s">
        <v>6</v>
      </c>
      <c r="E15" s="54"/>
      <c r="F15" s="54"/>
      <c r="G15" s="52"/>
      <c r="H15" s="52"/>
      <c r="I15" s="52"/>
      <c r="J15" s="52"/>
      <c r="K15" s="53">
        <f>SUM(K12:K14)</f>
        <v>1120.27</v>
      </c>
    </row>
    <row r="16" spans="2:11" ht="14.25">
      <c r="B16" s="36"/>
      <c r="C16" s="27"/>
      <c r="D16" s="27"/>
      <c r="E16" s="27"/>
      <c r="F16" s="27"/>
      <c r="G16" s="37"/>
      <c r="H16" s="37"/>
      <c r="I16" s="37"/>
      <c r="J16" s="37"/>
      <c r="K16" s="38"/>
    </row>
    <row r="17" spans="2:11" ht="14.25">
      <c r="B17" s="36"/>
      <c r="C17" s="27"/>
      <c r="D17" s="27" t="s">
        <v>89</v>
      </c>
      <c r="E17" s="27"/>
      <c r="F17" s="27"/>
      <c r="G17" s="37"/>
      <c r="H17" s="37"/>
      <c r="I17" s="26" t="s">
        <v>44</v>
      </c>
      <c r="J17" s="26"/>
      <c r="K17" s="39">
        <f>SUM(I12:I14)</f>
        <v>280.08000000000004</v>
      </c>
    </row>
    <row r="18" spans="2:11" ht="15" thickBot="1">
      <c r="B18" s="40"/>
      <c r="C18" s="41"/>
      <c r="D18" s="42"/>
      <c r="E18" s="42"/>
      <c r="F18" s="42"/>
      <c r="G18" s="43"/>
      <c r="H18" s="43"/>
      <c r="I18" s="44" t="s">
        <v>26</v>
      </c>
      <c r="J18" s="44"/>
      <c r="K18" s="45">
        <f>SUM(J12:J14)</f>
        <v>840.19</v>
      </c>
    </row>
    <row r="19" spans="2:11" ht="14.25">
      <c r="B19" s="10"/>
      <c r="C19" s="10"/>
      <c r="D19" s="24"/>
      <c r="E19" s="24"/>
      <c r="F19" s="24"/>
      <c r="G19" s="25"/>
      <c r="H19" s="25"/>
      <c r="I19" s="32" t="s">
        <v>6</v>
      </c>
      <c r="J19" s="32"/>
      <c r="K19" s="32">
        <f>SUM(K17:K18)</f>
        <v>1120.27</v>
      </c>
    </row>
    <row r="23" spans="7:8" ht="12.75" hidden="1">
      <c r="G23" t="s">
        <v>23</v>
      </c>
      <c r="H23" t="s">
        <v>24</v>
      </c>
    </row>
    <row r="24" spans="7:8" ht="12.75" hidden="1">
      <c r="G24">
        <v>27</v>
      </c>
      <c r="H24">
        <v>25</v>
      </c>
    </row>
  </sheetData>
  <sheetProtection/>
  <mergeCells count="1">
    <mergeCell ref="B9:K9"/>
  </mergeCells>
  <conditionalFormatting sqref="E12:G12">
    <cfRule type="expression" priority="8" dxfId="0" stopIfTrue="1">
      <formula>$K12=1</formula>
    </cfRule>
  </conditionalFormatting>
  <conditionalFormatting sqref="C12">
    <cfRule type="expression" priority="7" dxfId="0" stopIfTrue="1">
      <formula>$K12=1</formula>
    </cfRule>
  </conditionalFormatting>
  <conditionalFormatting sqref="G13">
    <cfRule type="expression" priority="6" dxfId="0" stopIfTrue="1">
      <formula>$K13=1</formula>
    </cfRule>
  </conditionalFormatting>
  <conditionalFormatting sqref="G14">
    <cfRule type="expression" priority="5" dxfId="0" stopIfTrue="1">
      <formula>$K14=1</formula>
    </cfRule>
  </conditionalFormatting>
  <conditionalFormatting sqref="E13">
    <cfRule type="expression" priority="3" dxfId="0" stopIfTrue="1">
      <formula>$K13=1</formula>
    </cfRule>
  </conditionalFormatting>
  <conditionalFormatting sqref="C13:C14">
    <cfRule type="expression" priority="9" dxfId="0" stopIfTrue="1">
      <formula>'COMP.1'!#REF!=1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6"/>
  <sheetViews>
    <sheetView view="pageBreakPreview" zoomScale="85" zoomScaleNormal="85" zoomScaleSheetLayoutView="85" zoomScalePageLayoutView="0" workbookViewId="0" topLeftCell="A1">
      <selection activeCell="B8" sqref="B8:K23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156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1" ht="12.75">
      <c r="B12" s="339"/>
      <c r="C12" s="340" t="s">
        <v>17</v>
      </c>
      <c r="D12" s="339" t="s">
        <v>152</v>
      </c>
      <c r="E12" s="340" t="s">
        <v>22</v>
      </c>
      <c r="F12" s="340">
        <v>49.93</v>
      </c>
      <c r="G12" s="341">
        <f>4.35*0.25</f>
        <v>1.0875</v>
      </c>
      <c r="H12" s="342">
        <f>4.35*0.75</f>
        <v>3.2624999999999997</v>
      </c>
      <c r="I12" s="342">
        <f>F12*G12</f>
        <v>54.298874999999995</v>
      </c>
      <c r="J12" s="342">
        <f>F12*H12</f>
        <v>162.89662499999997</v>
      </c>
      <c r="K12" s="343">
        <f>I12+J12</f>
        <v>217.19549999999998</v>
      </c>
    </row>
    <row r="13" spans="2:11" ht="36.75" customHeight="1">
      <c r="B13" s="339"/>
      <c r="C13" s="344" t="s">
        <v>17</v>
      </c>
      <c r="D13" s="339" t="s">
        <v>153</v>
      </c>
      <c r="E13" s="340" t="s">
        <v>22</v>
      </c>
      <c r="F13" s="345">
        <v>21.28</v>
      </c>
      <c r="G13" s="341">
        <f>4.35*0.25</f>
        <v>1.0875</v>
      </c>
      <c r="H13" s="342">
        <f>4.35*0.75</f>
        <v>3.2624999999999997</v>
      </c>
      <c r="I13" s="342">
        <f>F13*G13</f>
        <v>23.142</v>
      </c>
      <c r="J13" s="342">
        <f>F13*H13</f>
        <v>69.426</v>
      </c>
      <c r="K13" s="343">
        <f>I13+J13</f>
        <v>92.568</v>
      </c>
    </row>
    <row r="14" spans="2:11" ht="47.25" customHeight="1">
      <c r="B14" s="339" t="s">
        <v>36</v>
      </c>
      <c r="C14" s="344" t="s">
        <v>17</v>
      </c>
      <c r="D14" s="339" t="s">
        <v>37</v>
      </c>
      <c r="E14" s="365" t="s">
        <v>25</v>
      </c>
      <c r="F14" s="365">
        <v>3</v>
      </c>
      <c r="G14" s="341">
        <f>15.69*0.25</f>
        <v>3.9225</v>
      </c>
      <c r="H14" s="342">
        <f>15.69*0.75</f>
        <v>11.7675</v>
      </c>
      <c r="I14" s="342">
        <f>F14*G14</f>
        <v>11.7675</v>
      </c>
      <c r="J14" s="342">
        <f>F14*H14</f>
        <v>35.3025</v>
      </c>
      <c r="K14" s="343">
        <f>I14+J14</f>
        <v>47.07</v>
      </c>
    </row>
    <row r="15" spans="2:11" ht="22.5">
      <c r="B15" s="339" t="s">
        <v>39</v>
      </c>
      <c r="C15" s="344" t="s">
        <v>17</v>
      </c>
      <c r="D15" s="339" t="s">
        <v>40</v>
      </c>
      <c r="E15" s="365" t="s">
        <v>19</v>
      </c>
      <c r="F15" s="365">
        <f>(14.2*(2*(0.04+0.1+0.04)))+(8.4*(2*(0.03+0.092+0.03)))</f>
        <v>7.6655999999999995</v>
      </c>
      <c r="G15" s="341">
        <f>16.95*0.25</f>
        <v>4.2375</v>
      </c>
      <c r="H15" s="342">
        <f>16.95*0.75</f>
        <v>12.712499999999999</v>
      </c>
      <c r="I15" s="342">
        <f>F15*G15</f>
        <v>32.48298</v>
      </c>
      <c r="J15" s="342">
        <f>F15*H15</f>
        <v>97.44893999999998</v>
      </c>
      <c r="K15" s="343">
        <f>I15+J15</f>
        <v>129.93192</v>
      </c>
    </row>
    <row r="16" spans="2:11" ht="22.5">
      <c r="B16" s="339" t="s">
        <v>41</v>
      </c>
      <c r="C16" s="340" t="s">
        <v>17</v>
      </c>
      <c r="D16" s="339" t="s">
        <v>42</v>
      </c>
      <c r="E16" s="340" t="s">
        <v>19</v>
      </c>
      <c r="F16" s="340">
        <f>(14.2*(2*(0.04+0.1+0.04)))+(8.4*(2*(0.03+0.092+0.03)))</f>
        <v>7.6655999999999995</v>
      </c>
      <c r="G16" s="341">
        <f>22.68*0.25</f>
        <v>5.67</v>
      </c>
      <c r="H16" s="342">
        <f>22.68*0.75</f>
        <v>17.009999999999998</v>
      </c>
      <c r="I16" s="342">
        <f>F16*G16</f>
        <v>43.463952</v>
      </c>
      <c r="J16" s="342">
        <f>F16*H16</f>
        <v>130.391856</v>
      </c>
      <c r="K16" s="343">
        <f>I16+J16</f>
        <v>173.855808</v>
      </c>
    </row>
    <row r="17" spans="2:11" ht="12.75">
      <c r="B17" s="346"/>
      <c r="C17" s="347"/>
      <c r="D17" s="348" t="s">
        <v>6</v>
      </c>
      <c r="E17" s="349"/>
      <c r="F17" s="349"/>
      <c r="G17" s="342"/>
      <c r="H17" s="342"/>
      <c r="I17" s="342"/>
      <c r="J17" s="342"/>
      <c r="K17" s="343">
        <f>SUM(K12:K16)</f>
        <v>660.621228</v>
      </c>
    </row>
    <row r="18" spans="2:11" ht="12.75">
      <c r="B18" s="350"/>
      <c r="C18" s="351"/>
      <c r="D18" s="351"/>
      <c r="E18" s="351"/>
      <c r="F18" s="351"/>
      <c r="G18" s="352"/>
      <c r="H18" s="352"/>
      <c r="I18" s="352"/>
      <c r="J18" s="352"/>
      <c r="K18" s="353"/>
    </row>
    <row r="19" spans="2:11" ht="12.75">
      <c r="B19" s="350"/>
      <c r="C19" s="351"/>
      <c r="D19" s="351" t="str">
        <f>'COMP.6'!D19</f>
        <v>Augusto Pestana, 22 de janeiro de 2018.</v>
      </c>
      <c r="E19" s="351"/>
      <c r="F19" s="351"/>
      <c r="G19" s="352"/>
      <c r="H19" s="352"/>
      <c r="I19" s="354" t="s">
        <v>44</v>
      </c>
      <c r="J19" s="354"/>
      <c r="K19" s="355">
        <f>SUM(I12:I16)</f>
        <v>165.155307</v>
      </c>
    </row>
    <row r="20" spans="2:11" ht="13.5" thickBot="1">
      <c r="B20" s="356"/>
      <c r="C20" s="357"/>
      <c r="D20" s="358"/>
      <c r="E20" s="358"/>
      <c r="F20" s="358"/>
      <c r="G20" s="359"/>
      <c r="H20" s="359"/>
      <c r="I20" s="360" t="s">
        <v>26</v>
      </c>
      <c r="J20" s="360"/>
      <c r="K20" s="361">
        <f>SUM(J12:J16)</f>
        <v>495.465921</v>
      </c>
    </row>
    <row r="21" spans="2:11" ht="12.75">
      <c r="B21" s="332"/>
      <c r="C21" s="332"/>
      <c r="D21" s="362"/>
      <c r="E21" s="362"/>
      <c r="F21" s="362"/>
      <c r="G21" s="363"/>
      <c r="H21" s="363"/>
      <c r="I21" s="364" t="s">
        <v>6</v>
      </c>
      <c r="J21" s="364"/>
      <c r="K21" s="364">
        <f>SUM(K19:K20)</f>
        <v>660.621228</v>
      </c>
    </row>
    <row r="22" spans="2:11" ht="12.75">
      <c r="B22" s="332"/>
      <c r="C22" s="332"/>
      <c r="D22" s="332"/>
      <c r="E22" s="332"/>
      <c r="F22" s="332"/>
      <c r="G22" s="332"/>
      <c r="H22" s="332"/>
      <c r="I22" s="332"/>
      <c r="J22" s="332"/>
      <c r="K22" s="332"/>
    </row>
    <row r="23" spans="2:11" ht="12.75">
      <c r="B23" s="332"/>
      <c r="C23" s="332"/>
      <c r="D23" s="332"/>
      <c r="E23" s="332"/>
      <c r="F23" s="332"/>
      <c r="G23" s="332"/>
      <c r="H23" s="332"/>
      <c r="I23" s="332"/>
      <c r="J23" s="332"/>
      <c r="K23" s="332"/>
    </row>
    <row r="25" spans="7:8" ht="12.75" hidden="1">
      <c r="G25" t="s">
        <v>23</v>
      </c>
      <c r="H25" t="s">
        <v>24</v>
      </c>
    </row>
    <row r="26" spans="7:8" ht="12.75" hidden="1">
      <c r="G26">
        <v>27</v>
      </c>
      <c r="H26">
        <v>25</v>
      </c>
    </row>
  </sheetData>
  <sheetProtection/>
  <mergeCells count="1">
    <mergeCell ref="B9:K9"/>
  </mergeCells>
  <conditionalFormatting sqref="C16 E12:G12 E16:F16">
    <cfRule type="expression" priority="7" dxfId="0" stopIfTrue="1">
      <formula>$K12=1</formula>
    </cfRule>
  </conditionalFormatting>
  <conditionalFormatting sqref="C12">
    <cfRule type="expression" priority="6" dxfId="0" stopIfTrue="1">
      <formula>$K12=1</formula>
    </cfRule>
  </conditionalFormatting>
  <conditionalFormatting sqref="G13">
    <cfRule type="expression" priority="5" dxfId="0" stopIfTrue="1">
      <formula>$K13=1</formula>
    </cfRule>
  </conditionalFormatting>
  <conditionalFormatting sqref="G14">
    <cfRule type="expression" priority="4" dxfId="0" stopIfTrue="1">
      <formula>$K14=1</formula>
    </cfRule>
  </conditionalFormatting>
  <conditionalFormatting sqref="G15">
    <cfRule type="expression" priority="3" dxfId="0" stopIfTrue="1">
      <formula>$K15=1</formula>
    </cfRule>
  </conditionalFormatting>
  <conditionalFormatting sqref="G16">
    <cfRule type="expression" priority="2" dxfId="0" stopIfTrue="1">
      <formula>$K16=1</formula>
    </cfRule>
  </conditionalFormatting>
  <conditionalFormatting sqref="E13">
    <cfRule type="expression" priority="1" dxfId="0" stopIfTrue="1">
      <formula>$K13=1</formula>
    </cfRule>
  </conditionalFormatting>
  <conditionalFormatting sqref="C13:C15">
    <cfRule type="expression" priority="8" dxfId="0" stopIfTrue="1">
      <formula>'COMP.28'!#REF!=1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6"/>
  <sheetViews>
    <sheetView view="pageBreakPreview" zoomScale="85" zoomScaleNormal="85" zoomScaleSheetLayoutView="85" zoomScalePageLayoutView="0" workbookViewId="0" topLeftCell="A1">
      <selection activeCell="B8" sqref="B8:K23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165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1" ht="12.75">
      <c r="B12" s="339"/>
      <c r="C12" s="340" t="s">
        <v>17</v>
      </c>
      <c r="D12" s="339" t="s">
        <v>152</v>
      </c>
      <c r="E12" s="340" t="s">
        <v>22</v>
      </c>
      <c r="F12" s="340">
        <v>93.63</v>
      </c>
      <c r="G12" s="341">
        <f>4.35*0.25</f>
        <v>1.0875</v>
      </c>
      <c r="H12" s="342">
        <f>4.35*0.75</f>
        <v>3.2624999999999997</v>
      </c>
      <c r="I12" s="342">
        <f>F12*G12</f>
        <v>101.82262499999999</v>
      </c>
      <c r="J12" s="342">
        <f>F12*H12</f>
        <v>305.46787499999994</v>
      </c>
      <c r="K12" s="343">
        <f>I12+J12</f>
        <v>407.29049999999995</v>
      </c>
    </row>
    <row r="13" spans="2:11" ht="36.75" customHeight="1">
      <c r="B13" s="339"/>
      <c r="C13" s="344" t="s">
        <v>17</v>
      </c>
      <c r="D13" s="339" t="s">
        <v>153</v>
      </c>
      <c r="E13" s="340" t="s">
        <v>22</v>
      </c>
      <c r="F13" s="345">
        <v>101.32</v>
      </c>
      <c r="G13" s="341">
        <f>4.35*0.25</f>
        <v>1.0875</v>
      </c>
      <c r="H13" s="342">
        <f>4.35*0.75</f>
        <v>3.2624999999999997</v>
      </c>
      <c r="I13" s="342">
        <f>F13*G13</f>
        <v>110.18549999999999</v>
      </c>
      <c r="J13" s="342">
        <f>F13*H13</f>
        <v>330.55649999999997</v>
      </c>
      <c r="K13" s="343">
        <f>I13+J13</f>
        <v>440.74199999999996</v>
      </c>
    </row>
    <row r="14" spans="2:11" ht="47.25" customHeight="1">
      <c r="B14" s="339" t="s">
        <v>36</v>
      </c>
      <c r="C14" s="344" t="s">
        <v>17</v>
      </c>
      <c r="D14" s="339" t="s">
        <v>37</v>
      </c>
      <c r="E14" s="365" t="s">
        <v>25</v>
      </c>
      <c r="F14" s="365">
        <v>7</v>
      </c>
      <c r="G14" s="341">
        <f>15.69*0.25</f>
        <v>3.9225</v>
      </c>
      <c r="H14" s="342">
        <f>15.69*0.75</f>
        <v>11.7675</v>
      </c>
      <c r="I14" s="342">
        <f>F14*G14</f>
        <v>27.4575</v>
      </c>
      <c r="J14" s="342">
        <f>F14*H14</f>
        <v>82.3725</v>
      </c>
      <c r="K14" s="343">
        <f>I14+J14</f>
        <v>109.83</v>
      </c>
    </row>
    <row r="15" spans="2:11" ht="22.5">
      <c r="B15" s="339" t="s">
        <v>39</v>
      </c>
      <c r="C15" s="344" t="s">
        <v>17</v>
      </c>
      <c r="D15" s="339" t="s">
        <v>40</v>
      </c>
      <c r="E15" s="365" t="s">
        <v>19</v>
      </c>
      <c r="F15" s="365">
        <f>(34.68*(2*(0.04+0.1+0.04)))+(44.7*(2*(0.03+0.092+0.03)))</f>
        <v>26.073600000000003</v>
      </c>
      <c r="G15" s="341">
        <f>16.95*0.25</f>
        <v>4.2375</v>
      </c>
      <c r="H15" s="342">
        <f>16.95*0.75</f>
        <v>12.712499999999999</v>
      </c>
      <c r="I15" s="342">
        <f>F15*G15</f>
        <v>110.48688</v>
      </c>
      <c r="J15" s="342">
        <f>F15*H15</f>
        <v>331.46064</v>
      </c>
      <c r="K15" s="343">
        <f>I15+J15</f>
        <v>441.94752</v>
      </c>
    </row>
    <row r="16" spans="2:11" ht="22.5">
      <c r="B16" s="339" t="s">
        <v>41</v>
      </c>
      <c r="C16" s="340" t="s">
        <v>17</v>
      </c>
      <c r="D16" s="339" t="s">
        <v>42</v>
      </c>
      <c r="E16" s="340" t="s">
        <v>19</v>
      </c>
      <c r="F16" s="340">
        <f>(34.68*(2*(0.04+0.1+0.04)))+(44.7*(2*(0.03+0.092+0.03)))</f>
        <v>26.073600000000003</v>
      </c>
      <c r="G16" s="341">
        <f>22.68*0.25</f>
        <v>5.67</v>
      </c>
      <c r="H16" s="342">
        <f>22.68*0.75</f>
        <v>17.009999999999998</v>
      </c>
      <c r="I16" s="342">
        <f>F16*G16</f>
        <v>147.83731200000003</v>
      </c>
      <c r="J16" s="342">
        <f>F16*H16</f>
        <v>443.511936</v>
      </c>
      <c r="K16" s="343">
        <f>I16+J16</f>
        <v>591.349248</v>
      </c>
    </row>
    <row r="17" spans="2:11" ht="12.75">
      <c r="B17" s="346"/>
      <c r="C17" s="347"/>
      <c r="D17" s="348" t="s">
        <v>6</v>
      </c>
      <c r="E17" s="349"/>
      <c r="F17" s="349"/>
      <c r="G17" s="342"/>
      <c r="H17" s="342"/>
      <c r="I17" s="342"/>
      <c r="J17" s="342"/>
      <c r="K17" s="343">
        <f>SUM(K12:K16)</f>
        <v>1991.1592679999999</v>
      </c>
    </row>
    <row r="18" spans="2:11" ht="12.75">
      <c r="B18" s="350"/>
      <c r="C18" s="351"/>
      <c r="D18" s="351"/>
      <c r="E18" s="351"/>
      <c r="F18" s="351"/>
      <c r="G18" s="352"/>
      <c r="H18" s="352"/>
      <c r="I18" s="352"/>
      <c r="J18" s="352"/>
      <c r="K18" s="353"/>
    </row>
    <row r="19" spans="2:11" ht="12.75">
      <c r="B19" s="350"/>
      <c r="C19" s="351"/>
      <c r="D19" s="351" t="str">
        <f>'COMP.6'!D19</f>
        <v>Augusto Pestana, 22 de janeiro de 2018.</v>
      </c>
      <c r="E19" s="351"/>
      <c r="F19" s="351"/>
      <c r="G19" s="352"/>
      <c r="H19" s="352"/>
      <c r="I19" s="354" t="s">
        <v>44</v>
      </c>
      <c r="J19" s="354"/>
      <c r="K19" s="355">
        <f>SUM(I12:I16)</f>
        <v>497.78981699999997</v>
      </c>
    </row>
    <row r="20" spans="2:11" ht="13.5" thickBot="1">
      <c r="B20" s="356"/>
      <c r="C20" s="357"/>
      <c r="D20" s="358"/>
      <c r="E20" s="358"/>
      <c r="F20" s="358"/>
      <c r="G20" s="359"/>
      <c r="H20" s="359"/>
      <c r="I20" s="360" t="s">
        <v>26</v>
      </c>
      <c r="J20" s="360"/>
      <c r="K20" s="361">
        <f>SUM(J12:J16)</f>
        <v>1493.369451</v>
      </c>
    </row>
    <row r="21" spans="2:11" ht="12.75">
      <c r="B21" s="332"/>
      <c r="C21" s="332"/>
      <c r="D21" s="362"/>
      <c r="E21" s="362"/>
      <c r="F21" s="362"/>
      <c r="G21" s="363"/>
      <c r="H21" s="363"/>
      <c r="I21" s="364" t="s">
        <v>6</v>
      </c>
      <c r="J21" s="364"/>
      <c r="K21" s="364">
        <f>SUM(K19:K20)</f>
        <v>1991.1592679999999</v>
      </c>
    </row>
    <row r="22" spans="2:11" ht="12.75">
      <c r="B22" s="332"/>
      <c r="C22" s="332"/>
      <c r="D22" s="332"/>
      <c r="E22" s="332"/>
      <c r="F22" s="332"/>
      <c r="G22" s="332"/>
      <c r="H22" s="332"/>
      <c r="I22" s="332"/>
      <c r="J22" s="332"/>
      <c r="K22" s="332"/>
    </row>
    <row r="23" spans="2:11" ht="12.75">
      <c r="B23" s="332"/>
      <c r="C23" s="332"/>
      <c r="D23" s="332"/>
      <c r="E23" s="332"/>
      <c r="F23" s="332"/>
      <c r="G23" s="332"/>
      <c r="H23" s="332"/>
      <c r="I23" s="332"/>
      <c r="J23" s="332"/>
      <c r="K23" s="332"/>
    </row>
    <row r="25" spans="7:8" ht="12.75" hidden="1">
      <c r="G25" t="s">
        <v>23</v>
      </c>
      <c r="H25" t="s">
        <v>24</v>
      </c>
    </row>
    <row r="26" spans="7:8" ht="12.75" hidden="1">
      <c r="G26">
        <v>27</v>
      </c>
      <c r="H26">
        <v>25</v>
      </c>
    </row>
  </sheetData>
  <sheetProtection/>
  <mergeCells count="1">
    <mergeCell ref="B9:K9"/>
  </mergeCells>
  <conditionalFormatting sqref="C16 E12:G12 E16:F16">
    <cfRule type="expression" priority="7" dxfId="0" stopIfTrue="1">
      <formula>$K12=1</formula>
    </cfRule>
  </conditionalFormatting>
  <conditionalFormatting sqref="C12">
    <cfRule type="expression" priority="6" dxfId="0" stopIfTrue="1">
      <formula>$K12=1</formula>
    </cfRule>
  </conditionalFormatting>
  <conditionalFormatting sqref="G13">
    <cfRule type="expression" priority="5" dxfId="0" stopIfTrue="1">
      <formula>$K13=1</formula>
    </cfRule>
  </conditionalFormatting>
  <conditionalFormatting sqref="G14">
    <cfRule type="expression" priority="4" dxfId="0" stopIfTrue="1">
      <formula>$K14=1</formula>
    </cfRule>
  </conditionalFormatting>
  <conditionalFormatting sqref="G15">
    <cfRule type="expression" priority="3" dxfId="0" stopIfTrue="1">
      <formula>$K15=1</formula>
    </cfRule>
  </conditionalFormatting>
  <conditionalFormatting sqref="G16">
    <cfRule type="expression" priority="2" dxfId="0" stopIfTrue="1">
      <formula>$K16=1</formula>
    </cfRule>
  </conditionalFormatting>
  <conditionalFormatting sqref="E13">
    <cfRule type="expression" priority="1" dxfId="0" stopIfTrue="1">
      <formula>$K13=1</formula>
    </cfRule>
  </conditionalFormatting>
  <conditionalFormatting sqref="C13:C15">
    <cfRule type="expression" priority="8" dxfId="0" stopIfTrue="1">
      <formula>'COMP.29'!#REF!=1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6"/>
  <sheetViews>
    <sheetView view="pageBreakPreview" zoomScale="85" zoomScaleNormal="85" zoomScaleSheetLayoutView="85" zoomScalePageLayoutView="0" workbookViewId="0" topLeftCell="A1">
      <selection activeCell="B8" sqref="B8:K23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166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1" ht="12.75">
      <c r="B12" s="339"/>
      <c r="C12" s="340" t="s">
        <v>17</v>
      </c>
      <c r="D12" s="339" t="s">
        <v>152</v>
      </c>
      <c r="E12" s="340" t="s">
        <v>22</v>
      </c>
      <c r="F12" s="368">
        <v>85.69</v>
      </c>
      <c r="G12" s="341">
        <f>4.35*0.25</f>
        <v>1.0875</v>
      </c>
      <c r="H12" s="342">
        <f>4.35*0.75</f>
        <v>3.2624999999999997</v>
      </c>
      <c r="I12" s="342">
        <f>F12*G12</f>
        <v>93.18787499999999</v>
      </c>
      <c r="J12" s="342">
        <f>F12*H12</f>
        <v>279.56362499999994</v>
      </c>
      <c r="K12" s="343">
        <f>I12+J12</f>
        <v>372.75149999999996</v>
      </c>
    </row>
    <row r="13" spans="2:11" ht="36.75" customHeight="1">
      <c r="B13" s="339"/>
      <c r="C13" s="344" t="s">
        <v>17</v>
      </c>
      <c r="D13" s="339" t="s">
        <v>153</v>
      </c>
      <c r="E13" s="340" t="s">
        <v>22</v>
      </c>
      <c r="F13" s="369">
        <v>60.79</v>
      </c>
      <c r="G13" s="341">
        <f>4.35*0.25</f>
        <v>1.0875</v>
      </c>
      <c r="H13" s="342">
        <f>4.35*0.75</f>
        <v>3.2624999999999997</v>
      </c>
      <c r="I13" s="342">
        <f>F13*G13</f>
        <v>66.10912499999999</v>
      </c>
      <c r="J13" s="342">
        <f>F13*H13</f>
        <v>198.327375</v>
      </c>
      <c r="K13" s="343">
        <f>I13+J13</f>
        <v>264.43649999999997</v>
      </c>
    </row>
    <row r="14" spans="2:11" ht="47.25" customHeight="1">
      <c r="B14" s="339" t="s">
        <v>36</v>
      </c>
      <c r="C14" s="344" t="s">
        <v>17</v>
      </c>
      <c r="D14" s="339" t="s">
        <v>37</v>
      </c>
      <c r="E14" s="365" t="s">
        <v>25</v>
      </c>
      <c r="F14" s="369">
        <v>5</v>
      </c>
      <c r="G14" s="341">
        <f>15.69*0.25</f>
        <v>3.9225</v>
      </c>
      <c r="H14" s="342">
        <f>15.69*0.75</f>
        <v>11.7675</v>
      </c>
      <c r="I14" s="342">
        <f>F14*G14</f>
        <v>19.6125</v>
      </c>
      <c r="J14" s="342">
        <f>F14*H14</f>
        <v>58.8375</v>
      </c>
      <c r="K14" s="343">
        <f>I14+J14</f>
        <v>78.45</v>
      </c>
    </row>
    <row r="15" spans="2:11" ht="22.5">
      <c r="B15" s="339" t="s">
        <v>39</v>
      </c>
      <c r="C15" s="344" t="s">
        <v>17</v>
      </c>
      <c r="D15" s="339" t="s">
        <v>40</v>
      </c>
      <c r="E15" s="365" t="s">
        <v>19</v>
      </c>
      <c r="F15" s="369">
        <f>(31.74*(2*(0.04+0.1+0.04)))+(26.82*(2*(0.03+0.092+0.03)))</f>
        <v>19.579680000000003</v>
      </c>
      <c r="G15" s="341">
        <f>16.95*0.25</f>
        <v>4.2375</v>
      </c>
      <c r="H15" s="342">
        <f>16.95*0.75</f>
        <v>12.712499999999999</v>
      </c>
      <c r="I15" s="342">
        <f>F15*G15</f>
        <v>82.968894</v>
      </c>
      <c r="J15" s="342">
        <f>F15*H15</f>
        <v>248.90668200000002</v>
      </c>
      <c r="K15" s="343">
        <f>I15+J15</f>
        <v>331.875576</v>
      </c>
    </row>
    <row r="16" spans="2:11" ht="22.5">
      <c r="B16" s="339" t="s">
        <v>41</v>
      </c>
      <c r="C16" s="340" t="s">
        <v>17</v>
      </c>
      <c r="D16" s="339" t="s">
        <v>42</v>
      </c>
      <c r="E16" s="340" t="s">
        <v>19</v>
      </c>
      <c r="F16" s="368">
        <f>(31.74*(2*(0.04+0.1+0.04)))+(26.82*(2*(0.03+0.092+0.03)))</f>
        <v>19.579680000000003</v>
      </c>
      <c r="G16" s="341">
        <f>22.68*0.25</f>
        <v>5.67</v>
      </c>
      <c r="H16" s="342">
        <f>22.68*0.75</f>
        <v>17.009999999999998</v>
      </c>
      <c r="I16" s="342">
        <f>F16*G16</f>
        <v>111.01678560000002</v>
      </c>
      <c r="J16" s="342">
        <f>F16*H16</f>
        <v>333.05035680000003</v>
      </c>
      <c r="K16" s="343">
        <f>I16+J16</f>
        <v>444.0671424000001</v>
      </c>
    </row>
    <row r="17" spans="2:11" ht="12.75">
      <c r="B17" s="346"/>
      <c r="C17" s="347"/>
      <c r="D17" s="348" t="s">
        <v>6</v>
      </c>
      <c r="E17" s="349"/>
      <c r="F17" s="349"/>
      <c r="G17" s="342"/>
      <c r="H17" s="342"/>
      <c r="I17" s="342"/>
      <c r="J17" s="342"/>
      <c r="K17" s="343">
        <f>SUM(K12:K16)</f>
        <v>1491.5807184</v>
      </c>
    </row>
    <row r="18" spans="2:11" ht="12.75">
      <c r="B18" s="350"/>
      <c r="C18" s="351"/>
      <c r="D18" s="351"/>
      <c r="E18" s="351"/>
      <c r="F18" s="351"/>
      <c r="G18" s="352"/>
      <c r="H18" s="352"/>
      <c r="I18" s="352"/>
      <c r="J18" s="352"/>
      <c r="K18" s="353"/>
    </row>
    <row r="19" spans="2:11" ht="12.75">
      <c r="B19" s="350"/>
      <c r="C19" s="351"/>
      <c r="D19" s="351" t="str">
        <f>'COMP.6'!D19</f>
        <v>Augusto Pestana, 22 de janeiro de 2018.</v>
      </c>
      <c r="E19" s="351"/>
      <c r="F19" s="351"/>
      <c r="G19" s="352"/>
      <c r="H19" s="352"/>
      <c r="I19" s="354" t="s">
        <v>44</v>
      </c>
      <c r="J19" s="354"/>
      <c r="K19" s="355">
        <f>SUM(I12:I16)</f>
        <v>372.8951796</v>
      </c>
    </row>
    <row r="20" spans="2:11" ht="13.5" thickBot="1">
      <c r="B20" s="356"/>
      <c r="C20" s="357"/>
      <c r="D20" s="358"/>
      <c r="E20" s="358"/>
      <c r="F20" s="358"/>
      <c r="G20" s="359"/>
      <c r="H20" s="359"/>
      <c r="I20" s="360" t="s">
        <v>26</v>
      </c>
      <c r="J20" s="360"/>
      <c r="K20" s="361">
        <f>SUM(J12:J16)</f>
        <v>1118.6855388</v>
      </c>
    </row>
    <row r="21" spans="2:11" ht="12.75">
      <c r="B21" s="332"/>
      <c r="C21" s="332"/>
      <c r="D21" s="362"/>
      <c r="E21" s="362"/>
      <c r="F21" s="362"/>
      <c r="G21" s="363"/>
      <c r="H21" s="363"/>
      <c r="I21" s="364" t="s">
        <v>6</v>
      </c>
      <c r="J21" s="364"/>
      <c r="K21" s="364">
        <f>SUM(K19:K20)</f>
        <v>1491.5807184</v>
      </c>
    </row>
    <row r="22" spans="2:11" ht="12.75">
      <c r="B22" s="332"/>
      <c r="C22" s="332"/>
      <c r="D22" s="332"/>
      <c r="E22" s="332"/>
      <c r="F22" s="332"/>
      <c r="G22" s="332"/>
      <c r="H22" s="332"/>
      <c r="I22" s="332"/>
      <c r="J22" s="332"/>
      <c r="K22" s="332"/>
    </row>
    <row r="23" spans="2:11" ht="12.75">
      <c r="B23" s="332"/>
      <c r="C23" s="332"/>
      <c r="D23" s="332"/>
      <c r="E23" s="332"/>
      <c r="F23" s="332"/>
      <c r="G23" s="332"/>
      <c r="H23" s="332"/>
      <c r="I23" s="332"/>
      <c r="J23" s="332"/>
      <c r="K23" s="332"/>
    </row>
    <row r="25" spans="7:8" ht="12.75" hidden="1">
      <c r="G25" t="s">
        <v>23</v>
      </c>
      <c r="H25" t="s">
        <v>24</v>
      </c>
    </row>
    <row r="26" spans="7:8" ht="12.75" hidden="1">
      <c r="G26">
        <v>27</v>
      </c>
      <c r="H26">
        <v>25</v>
      </c>
    </row>
  </sheetData>
  <sheetProtection/>
  <mergeCells count="1">
    <mergeCell ref="B9:K9"/>
  </mergeCells>
  <conditionalFormatting sqref="C16 E12:G12 E16:F16">
    <cfRule type="expression" priority="7" dxfId="0" stopIfTrue="1">
      <formula>$K12=1</formula>
    </cfRule>
  </conditionalFormatting>
  <conditionalFormatting sqref="C12">
    <cfRule type="expression" priority="6" dxfId="0" stopIfTrue="1">
      <formula>$K12=1</formula>
    </cfRule>
  </conditionalFormatting>
  <conditionalFormatting sqref="G13">
    <cfRule type="expression" priority="5" dxfId="0" stopIfTrue="1">
      <formula>$K13=1</formula>
    </cfRule>
  </conditionalFormatting>
  <conditionalFormatting sqref="G14">
    <cfRule type="expression" priority="4" dxfId="0" stopIfTrue="1">
      <formula>$K14=1</formula>
    </cfRule>
  </conditionalFormatting>
  <conditionalFormatting sqref="G15">
    <cfRule type="expression" priority="3" dxfId="0" stopIfTrue="1">
      <formula>$K15=1</formula>
    </cfRule>
  </conditionalFormatting>
  <conditionalFormatting sqref="G16">
    <cfRule type="expression" priority="2" dxfId="0" stopIfTrue="1">
      <formula>$K16=1</formula>
    </cfRule>
  </conditionalFormatting>
  <conditionalFormatting sqref="E13">
    <cfRule type="expression" priority="1" dxfId="0" stopIfTrue="1">
      <formula>$K13=1</formula>
    </cfRule>
  </conditionalFormatting>
  <conditionalFormatting sqref="C13:C15">
    <cfRule type="expression" priority="8" dxfId="0" stopIfTrue="1">
      <formula>'COMP.30'!#REF!=1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29"/>
  <sheetViews>
    <sheetView zoomScale="85" zoomScaleNormal="85" zoomScaleSheetLayoutView="85" zoomScalePageLayoutView="0" workbookViewId="0" topLeftCell="A1">
      <selection activeCell="B4" sqref="B4:K24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27.75" customHeight="1">
      <c r="B9" s="401" t="s">
        <v>250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3" ht="33.75">
      <c r="B12" s="370" t="s">
        <v>239</v>
      </c>
      <c r="C12" s="340" t="s">
        <v>108</v>
      </c>
      <c r="D12" s="339" t="s">
        <v>240</v>
      </c>
      <c r="E12" s="340" t="s">
        <v>109</v>
      </c>
      <c r="F12" s="368">
        <f>0.45*0.3*0.2</f>
        <v>0.027000000000000003</v>
      </c>
      <c r="G12" s="341">
        <f aca="true" t="shared" si="0" ref="G12:G19">M12*0.25</f>
        <v>83.7</v>
      </c>
      <c r="H12" s="342">
        <f aca="true" t="shared" si="1" ref="H12:H19">M12-G12</f>
        <v>251.10000000000002</v>
      </c>
      <c r="I12" s="342">
        <f aca="true" t="shared" si="2" ref="I12:I19">F12*G12</f>
        <v>2.2599000000000005</v>
      </c>
      <c r="J12" s="342">
        <f aca="true" t="shared" si="3" ref="J12:J19">F12*H12</f>
        <v>6.779700000000002</v>
      </c>
      <c r="K12" s="343">
        <f aca="true" t="shared" si="4" ref="K12:K19">I12+J12</f>
        <v>9.039600000000002</v>
      </c>
      <c r="M12" s="65">
        <v>334.8</v>
      </c>
    </row>
    <row r="13" spans="2:13" ht="22.5">
      <c r="B13" s="370" t="s">
        <v>114</v>
      </c>
      <c r="C13" s="340" t="s">
        <v>108</v>
      </c>
      <c r="D13" s="339" t="s">
        <v>115</v>
      </c>
      <c r="E13" s="340" t="s">
        <v>109</v>
      </c>
      <c r="F13" s="369">
        <f>F12</f>
        <v>0.027000000000000003</v>
      </c>
      <c r="G13" s="341">
        <f t="shared" si="0"/>
        <v>38.6625</v>
      </c>
      <c r="H13" s="342">
        <f t="shared" si="1"/>
        <v>115.98750000000001</v>
      </c>
      <c r="I13" s="342">
        <f t="shared" si="2"/>
        <v>1.0438875</v>
      </c>
      <c r="J13" s="342">
        <f t="shared" si="3"/>
        <v>3.1316625000000005</v>
      </c>
      <c r="K13" s="343">
        <f t="shared" si="4"/>
        <v>4.17555</v>
      </c>
      <c r="M13" s="65">
        <v>154.65</v>
      </c>
    </row>
    <row r="14" spans="2:13" ht="22.5">
      <c r="B14" s="370" t="s">
        <v>139</v>
      </c>
      <c r="C14" s="340" t="s">
        <v>108</v>
      </c>
      <c r="D14" s="339" t="s">
        <v>140</v>
      </c>
      <c r="E14" s="365" t="s">
        <v>19</v>
      </c>
      <c r="F14" s="369">
        <f>1.2*0.2</f>
        <v>0.24</v>
      </c>
      <c r="G14" s="341">
        <f t="shared" si="0"/>
        <v>8.0625</v>
      </c>
      <c r="H14" s="342">
        <f t="shared" si="1"/>
        <v>24.1875</v>
      </c>
      <c r="I14" s="342">
        <f t="shared" si="2"/>
        <v>1.9349999999999998</v>
      </c>
      <c r="J14" s="342">
        <f t="shared" si="3"/>
        <v>5.805</v>
      </c>
      <c r="K14" s="343">
        <f t="shared" si="4"/>
        <v>7.739999999999999</v>
      </c>
      <c r="M14" s="65">
        <v>32.25</v>
      </c>
    </row>
    <row r="15" spans="2:13" ht="12.75">
      <c r="B15" s="370" t="s">
        <v>172</v>
      </c>
      <c r="C15" s="340" t="s">
        <v>108</v>
      </c>
      <c r="D15" s="339" t="s">
        <v>174</v>
      </c>
      <c r="E15" s="340" t="s">
        <v>25</v>
      </c>
      <c r="F15" s="368">
        <v>0.6</v>
      </c>
      <c r="G15" s="341">
        <f t="shared" si="0"/>
        <v>4.61</v>
      </c>
      <c r="H15" s="342">
        <f t="shared" si="1"/>
        <v>13.830000000000002</v>
      </c>
      <c r="I15" s="342">
        <f t="shared" si="2"/>
        <v>2.766</v>
      </c>
      <c r="J15" s="342">
        <f t="shared" si="3"/>
        <v>8.298</v>
      </c>
      <c r="K15" s="343">
        <f t="shared" si="4"/>
        <v>11.064</v>
      </c>
      <c r="M15" s="63">
        <v>18.44</v>
      </c>
    </row>
    <row r="16" spans="2:13" ht="36.75" customHeight="1">
      <c r="B16" s="370" t="s">
        <v>173</v>
      </c>
      <c r="C16" s="340" t="s">
        <v>108</v>
      </c>
      <c r="D16" s="339" t="s">
        <v>175</v>
      </c>
      <c r="E16" s="340" t="s">
        <v>25</v>
      </c>
      <c r="F16" s="369">
        <v>4.2</v>
      </c>
      <c r="G16" s="341">
        <f t="shared" si="0"/>
        <v>3.755</v>
      </c>
      <c r="H16" s="342">
        <f t="shared" si="1"/>
        <v>11.265</v>
      </c>
      <c r="I16" s="342">
        <f t="shared" si="2"/>
        <v>15.771</v>
      </c>
      <c r="J16" s="342">
        <f t="shared" si="3"/>
        <v>47.313</v>
      </c>
      <c r="K16" s="343">
        <f t="shared" si="4"/>
        <v>63.084</v>
      </c>
      <c r="M16" s="63">
        <v>15.02</v>
      </c>
    </row>
    <row r="17" spans="2:13" ht="33.75">
      <c r="B17" s="370" t="s">
        <v>176</v>
      </c>
      <c r="C17" s="340" t="s">
        <v>108</v>
      </c>
      <c r="D17" s="339" t="s">
        <v>177</v>
      </c>
      <c r="E17" s="365" t="s">
        <v>109</v>
      </c>
      <c r="F17" s="369">
        <f>3.14*(0.1^2)*2</f>
        <v>0.06280000000000001</v>
      </c>
      <c r="G17" s="341">
        <f t="shared" si="0"/>
        <v>71.7925</v>
      </c>
      <c r="H17" s="342">
        <f t="shared" si="1"/>
        <v>215.3775</v>
      </c>
      <c r="I17" s="342">
        <f t="shared" si="2"/>
        <v>4.5085690000000005</v>
      </c>
      <c r="J17" s="342">
        <f t="shared" si="3"/>
        <v>13.525707000000002</v>
      </c>
      <c r="K17" s="343">
        <f t="shared" si="4"/>
        <v>18.034276000000002</v>
      </c>
      <c r="M17" s="63">
        <v>287.17</v>
      </c>
    </row>
    <row r="18" spans="2:13" ht="45">
      <c r="B18" s="370" t="s">
        <v>105</v>
      </c>
      <c r="C18" s="340" t="s">
        <v>108</v>
      </c>
      <c r="D18" s="339" t="s">
        <v>107</v>
      </c>
      <c r="E18" s="365" t="s">
        <v>22</v>
      </c>
      <c r="F18" s="369">
        <f>4*2.5*0.617</f>
        <v>6.17</v>
      </c>
      <c r="G18" s="341">
        <f t="shared" si="0"/>
        <v>2.0175</v>
      </c>
      <c r="H18" s="342">
        <f t="shared" si="1"/>
        <v>6.0525</v>
      </c>
      <c r="I18" s="342">
        <f t="shared" si="2"/>
        <v>12.447975</v>
      </c>
      <c r="J18" s="342">
        <f t="shared" si="3"/>
        <v>37.343925</v>
      </c>
      <c r="K18" s="343">
        <f t="shared" si="4"/>
        <v>49.7919</v>
      </c>
      <c r="M18" s="63">
        <v>8.07</v>
      </c>
    </row>
    <row r="19" spans="2:13" ht="45">
      <c r="B19" s="370" t="s">
        <v>119</v>
      </c>
      <c r="C19" s="340" t="s">
        <v>108</v>
      </c>
      <c r="D19" s="339" t="s">
        <v>120</v>
      </c>
      <c r="E19" s="340" t="s">
        <v>22</v>
      </c>
      <c r="F19" s="368">
        <f>(12*(0.1+0.1+0.1+0.1+0.14))*0.154</f>
        <v>0.99792</v>
      </c>
      <c r="G19" s="341">
        <f t="shared" si="0"/>
        <v>3.0675</v>
      </c>
      <c r="H19" s="342">
        <f t="shared" si="1"/>
        <v>9.2025</v>
      </c>
      <c r="I19" s="342">
        <f t="shared" si="2"/>
        <v>3.0611196</v>
      </c>
      <c r="J19" s="342">
        <f t="shared" si="3"/>
        <v>9.1833588</v>
      </c>
      <c r="K19" s="343">
        <f t="shared" si="4"/>
        <v>12.2444784</v>
      </c>
      <c r="M19" s="63">
        <v>12.27</v>
      </c>
    </row>
    <row r="20" spans="2:13" ht="12.75">
      <c r="B20" s="346"/>
      <c r="C20" s="347"/>
      <c r="D20" s="348" t="s">
        <v>6</v>
      </c>
      <c r="E20" s="349"/>
      <c r="F20" s="349"/>
      <c r="G20" s="342"/>
      <c r="H20" s="342"/>
      <c r="I20" s="342"/>
      <c r="J20" s="342"/>
      <c r="K20" s="343">
        <f>SUM(K12:K19)</f>
        <v>175.1738044</v>
      </c>
      <c r="M20" s="64"/>
    </row>
    <row r="21" spans="2:11" ht="12.75">
      <c r="B21" s="350"/>
      <c r="C21" s="351"/>
      <c r="D21" s="351"/>
      <c r="E21" s="351"/>
      <c r="F21" s="351"/>
      <c r="G21" s="352"/>
      <c r="H21" s="352"/>
      <c r="I21" s="352"/>
      <c r="J21" s="352"/>
      <c r="K21" s="353"/>
    </row>
    <row r="22" spans="2:11" ht="12.75">
      <c r="B22" s="350"/>
      <c r="C22" s="351"/>
      <c r="D22" s="351" t="str">
        <f>'COMP.6'!D19</f>
        <v>Augusto Pestana, 22 de janeiro de 2018.</v>
      </c>
      <c r="E22" s="351"/>
      <c r="F22" s="351"/>
      <c r="G22" s="352"/>
      <c r="H22" s="352"/>
      <c r="I22" s="354" t="s">
        <v>44</v>
      </c>
      <c r="J22" s="354"/>
      <c r="K22" s="355">
        <f>SUM(I12:I19)</f>
        <v>43.7934511</v>
      </c>
    </row>
    <row r="23" spans="2:11" ht="13.5" thickBot="1">
      <c r="B23" s="356"/>
      <c r="C23" s="357"/>
      <c r="D23" s="358"/>
      <c r="E23" s="358"/>
      <c r="F23" s="358"/>
      <c r="G23" s="359"/>
      <c r="H23" s="359"/>
      <c r="I23" s="360" t="s">
        <v>26</v>
      </c>
      <c r="J23" s="360"/>
      <c r="K23" s="361">
        <f>SUM(J12:J19)</f>
        <v>131.3803533</v>
      </c>
    </row>
    <row r="24" spans="2:11" ht="12.75">
      <c r="B24" s="332"/>
      <c r="C24" s="332"/>
      <c r="D24" s="362"/>
      <c r="E24" s="362"/>
      <c r="F24" s="362"/>
      <c r="G24" s="363"/>
      <c r="H24" s="363"/>
      <c r="I24" s="364" t="s">
        <v>6</v>
      </c>
      <c r="J24" s="364"/>
      <c r="K24" s="364">
        <f>SUM(K22:K23)</f>
        <v>175.1738044</v>
      </c>
    </row>
    <row r="25" spans="2:11" ht="12.75">
      <c r="B25" s="332"/>
      <c r="C25" s="332"/>
      <c r="D25" s="332"/>
      <c r="E25" s="332"/>
      <c r="F25" s="332"/>
      <c r="G25" s="332"/>
      <c r="H25" s="332"/>
      <c r="I25" s="332"/>
      <c r="J25" s="332"/>
      <c r="K25" s="332"/>
    </row>
    <row r="28" spans="7:8" ht="12.75" hidden="1">
      <c r="G28" t="s">
        <v>23</v>
      </c>
      <c r="H28" t="s">
        <v>24</v>
      </c>
    </row>
    <row r="29" spans="7:8" ht="12.75" hidden="1">
      <c r="G29">
        <v>27</v>
      </c>
      <c r="H29">
        <v>25</v>
      </c>
    </row>
  </sheetData>
  <sheetProtection/>
  <mergeCells count="1">
    <mergeCell ref="B9:K9"/>
  </mergeCells>
  <conditionalFormatting sqref="E15:G15 E19:F19 G16:G19">
    <cfRule type="expression" priority="11" dxfId="0" stopIfTrue="1">
      <formula>$K15=1</formula>
    </cfRule>
  </conditionalFormatting>
  <conditionalFormatting sqref="C15">
    <cfRule type="expression" priority="10" dxfId="0" stopIfTrue="1">
      <formula>$K15=1</formula>
    </cfRule>
  </conditionalFormatting>
  <conditionalFormatting sqref="E16">
    <cfRule type="expression" priority="5" dxfId="0" stopIfTrue="1">
      <formula>$K16=1</formula>
    </cfRule>
  </conditionalFormatting>
  <conditionalFormatting sqref="C16:C19">
    <cfRule type="expression" priority="12" dxfId="0" stopIfTrue="1">
      <formula>'COMP.31'!#REF!=1</formula>
    </cfRule>
  </conditionalFormatting>
  <conditionalFormatting sqref="E12:G12 G13:G14 E13">
    <cfRule type="expression" priority="3" dxfId="0" stopIfTrue="1">
      <formula>$K12=1</formula>
    </cfRule>
  </conditionalFormatting>
  <conditionalFormatting sqref="C12">
    <cfRule type="expression" priority="2" dxfId="0" stopIfTrue="1">
      <formula>$K12=1</formula>
    </cfRule>
  </conditionalFormatting>
  <conditionalFormatting sqref="C13:C14">
    <cfRule type="expression" priority="4" dxfId="0" stopIfTrue="1">
      <formula>'COMP.31'!#REF!=1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38"/>
  <sheetViews>
    <sheetView zoomScale="72" zoomScaleNormal="72" zoomScaleSheetLayoutView="85" zoomScalePageLayoutView="0" workbookViewId="0" topLeftCell="A9">
      <selection activeCell="Q9" sqref="Q9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298"/>
      <c r="C8" s="298"/>
      <c r="D8" s="298"/>
      <c r="E8" s="298"/>
      <c r="F8" s="298"/>
      <c r="G8" s="298"/>
      <c r="H8" s="298"/>
      <c r="I8" s="298"/>
      <c r="J8" s="298"/>
      <c r="K8" s="298"/>
    </row>
    <row r="9" spans="2:11" ht="28.5" customHeight="1">
      <c r="B9" s="402" t="s">
        <v>182</v>
      </c>
      <c r="C9" s="403"/>
      <c r="D9" s="403"/>
      <c r="E9" s="403"/>
      <c r="F9" s="403"/>
      <c r="G9" s="403"/>
      <c r="H9" s="403"/>
      <c r="I9" s="403"/>
      <c r="J9" s="403"/>
      <c r="K9" s="404"/>
    </row>
    <row r="10" spans="2:11" ht="12.75">
      <c r="B10" s="299"/>
      <c r="C10" s="300"/>
      <c r="D10" s="300"/>
      <c r="E10" s="300"/>
      <c r="F10" s="300"/>
      <c r="G10" s="300"/>
      <c r="H10" s="300"/>
      <c r="I10" s="300"/>
      <c r="J10" s="300"/>
      <c r="K10" s="301"/>
    </row>
    <row r="11" spans="2:11" ht="18">
      <c r="B11" s="302" t="s">
        <v>20</v>
      </c>
      <c r="C11" s="303" t="s">
        <v>18</v>
      </c>
      <c r="D11" s="303" t="s">
        <v>0</v>
      </c>
      <c r="E11" s="303" t="s">
        <v>21</v>
      </c>
      <c r="F11" s="303" t="s">
        <v>43</v>
      </c>
      <c r="G11" s="303" t="s">
        <v>53</v>
      </c>
      <c r="H11" s="303" t="s">
        <v>54</v>
      </c>
      <c r="I11" s="303" t="s">
        <v>55</v>
      </c>
      <c r="J11" s="303" t="s">
        <v>56</v>
      </c>
      <c r="K11" s="304" t="s">
        <v>6</v>
      </c>
    </row>
    <row r="12" spans="2:13" ht="27">
      <c r="B12" s="371" t="s">
        <v>183</v>
      </c>
      <c r="C12" s="306" t="s">
        <v>108</v>
      </c>
      <c r="D12" s="307" t="s">
        <v>200</v>
      </c>
      <c r="E12" s="306" t="s">
        <v>132</v>
      </c>
      <c r="F12" s="306">
        <v>0.3684</v>
      </c>
      <c r="G12" s="308">
        <f aca="true" t="shared" si="0" ref="G12:G28">M12*0.25</f>
        <v>9.225</v>
      </c>
      <c r="H12" s="309">
        <f aca="true" t="shared" si="1" ref="H12:H28">M12-G12</f>
        <v>27.674999999999997</v>
      </c>
      <c r="I12" s="309">
        <f aca="true" t="shared" si="2" ref="I12:I28">F12*G12</f>
        <v>3.39849</v>
      </c>
      <c r="J12" s="309">
        <f aca="true" t="shared" si="3" ref="J12:J28">F12*H12</f>
        <v>10.195469999999998</v>
      </c>
      <c r="K12" s="310">
        <f aca="true" t="shared" si="4" ref="K12:K28">I12+J12</f>
        <v>13.59396</v>
      </c>
      <c r="M12" s="64">
        <v>36.9</v>
      </c>
    </row>
    <row r="13" spans="2:13" ht="27">
      <c r="B13" s="371" t="s">
        <v>184</v>
      </c>
      <c r="C13" s="306" t="s">
        <v>108</v>
      </c>
      <c r="D13" s="307" t="s">
        <v>201</v>
      </c>
      <c r="E13" s="306" t="s">
        <v>1</v>
      </c>
      <c r="F13" s="311">
        <v>0.0196</v>
      </c>
      <c r="G13" s="308">
        <f t="shared" si="0"/>
        <v>6.215</v>
      </c>
      <c r="H13" s="309">
        <f t="shared" si="1"/>
        <v>18.645</v>
      </c>
      <c r="I13" s="309">
        <f t="shared" si="2"/>
        <v>0.12181399999999999</v>
      </c>
      <c r="J13" s="309">
        <f t="shared" si="3"/>
        <v>0.365442</v>
      </c>
      <c r="K13" s="310">
        <f t="shared" si="4"/>
        <v>0.48725599999999997</v>
      </c>
      <c r="M13" s="64">
        <v>24.86</v>
      </c>
    </row>
    <row r="14" spans="2:13" ht="27">
      <c r="B14" s="371" t="s">
        <v>185</v>
      </c>
      <c r="C14" s="306" t="s">
        <v>108</v>
      </c>
      <c r="D14" s="307" t="s">
        <v>202</v>
      </c>
      <c r="E14" s="312" t="s">
        <v>1</v>
      </c>
      <c r="F14" s="312">
        <v>0.0348</v>
      </c>
      <c r="G14" s="308">
        <f t="shared" si="0"/>
        <v>3.34</v>
      </c>
      <c r="H14" s="309">
        <f t="shared" si="1"/>
        <v>10.02</v>
      </c>
      <c r="I14" s="309">
        <f t="shared" si="2"/>
        <v>0.11623199999999999</v>
      </c>
      <c r="J14" s="309">
        <f t="shared" si="3"/>
        <v>0.34869599999999995</v>
      </c>
      <c r="K14" s="310">
        <f t="shared" si="4"/>
        <v>0.46492799999999995</v>
      </c>
      <c r="M14" s="64">
        <v>13.36</v>
      </c>
    </row>
    <row r="15" spans="2:13" ht="27">
      <c r="B15" s="371" t="s">
        <v>186</v>
      </c>
      <c r="C15" s="306" t="s">
        <v>108</v>
      </c>
      <c r="D15" s="307" t="s">
        <v>203</v>
      </c>
      <c r="E15" s="312" t="s">
        <v>1</v>
      </c>
      <c r="F15" s="312">
        <v>0.0043</v>
      </c>
      <c r="G15" s="308">
        <f t="shared" si="0"/>
        <v>8.0375</v>
      </c>
      <c r="H15" s="309">
        <f t="shared" si="1"/>
        <v>24.112499999999997</v>
      </c>
      <c r="I15" s="309">
        <f t="shared" si="2"/>
        <v>0.03456125</v>
      </c>
      <c r="J15" s="309">
        <f t="shared" si="3"/>
        <v>0.10368374999999999</v>
      </c>
      <c r="K15" s="310">
        <f t="shared" si="4"/>
        <v>0.138245</v>
      </c>
      <c r="M15" s="64">
        <v>32.15</v>
      </c>
    </row>
    <row r="16" spans="2:13" ht="27">
      <c r="B16" s="371" t="s">
        <v>187</v>
      </c>
      <c r="C16" s="306" t="s">
        <v>108</v>
      </c>
      <c r="D16" s="307" t="s">
        <v>204</v>
      </c>
      <c r="E16" s="306" t="s">
        <v>132</v>
      </c>
      <c r="F16" s="311">
        <v>0.6316</v>
      </c>
      <c r="G16" s="308">
        <f t="shared" si="0"/>
        <v>5.3725</v>
      </c>
      <c r="H16" s="309">
        <f t="shared" si="1"/>
        <v>16.1175</v>
      </c>
      <c r="I16" s="309">
        <f t="shared" si="2"/>
        <v>3.393271</v>
      </c>
      <c r="J16" s="309">
        <f t="shared" si="3"/>
        <v>10.179813000000001</v>
      </c>
      <c r="K16" s="310">
        <f t="shared" si="4"/>
        <v>13.573084000000001</v>
      </c>
      <c r="M16" s="64">
        <v>21.49</v>
      </c>
    </row>
    <row r="17" spans="2:13" ht="27">
      <c r="B17" s="371" t="s">
        <v>188</v>
      </c>
      <c r="C17" s="306" t="s">
        <v>108</v>
      </c>
      <c r="D17" s="307" t="s">
        <v>205</v>
      </c>
      <c r="E17" s="312" t="s">
        <v>1</v>
      </c>
      <c r="F17" s="312">
        <v>0.0831</v>
      </c>
      <c r="G17" s="308">
        <f t="shared" si="0"/>
        <v>5.885</v>
      </c>
      <c r="H17" s="309">
        <f t="shared" si="1"/>
        <v>17.655</v>
      </c>
      <c r="I17" s="309">
        <f t="shared" si="2"/>
        <v>0.48904349999999996</v>
      </c>
      <c r="J17" s="309">
        <f t="shared" si="3"/>
        <v>1.4671305</v>
      </c>
      <c r="K17" s="310">
        <f t="shared" si="4"/>
        <v>1.9561739999999999</v>
      </c>
      <c r="M17" s="64">
        <v>23.54</v>
      </c>
    </row>
    <row r="18" spans="2:13" ht="27">
      <c r="B18" s="371" t="s">
        <v>189</v>
      </c>
      <c r="C18" s="306" t="s">
        <v>108</v>
      </c>
      <c r="D18" s="307" t="s">
        <v>206</v>
      </c>
      <c r="E18" s="312" t="s">
        <v>1</v>
      </c>
      <c r="F18" s="312">
        <v>0.0043</v>
      </c>
      <c r="G18" s="308">
        <f t="shared" si="0"/>
        <v>5.015</v>
      </c>
      <c r="H18" s="309">
        <f t="shared" si="1"/>
        <v>15.044999999999998</v>
      </c>
      <c r="I18" s="309">
        <f t="shared" si="2"/>
        <v>0.0215645</v>
      </c>
      <c r="J18" s="309">
        <f t="shared" si="3"/>
        <v>0.06469349999999999</v>
      </c>
      <c r="K18" s="310">
        <f t="shared" si="4"/>
        <v>0.08625799999999999</v>
      </c>
      <c r="M18" s="64">
        <v>20.06</v>
      </c>
    </row>
    <row r="19" spans="2:13" ht="27">
      <c r="B19" s="371" t="s">
        <v>190</v>
      </c>
      <c r="C19" s="306" t="s">
        <v>108</v>
      </c>
      <c r="D19" s="307" t="s">
        <v>207</v>
      </c>
      <c r="E19" s="306" t="s">
        <v>1</v>
      </c>
      <c r="F19" s="311">
        <v>0.0863</v>
      </c>
      <c r="G19" s="308">
        <f t="shared" si="0"/>
        <v>3.1325</v>
      </c>
      <c r="H19" s="309">
        <f t="shared" si="1"/>
        <v>9.397499999999999</v>
      </c>
      <c r="I19" s="309">
        <f t="shared" si="2"/>
        <v>0.27033475</v>
      </c>
      <c r="J19" s="309">
        <f t="shared" si="3"/>
        <v>0.81100425</v>
      </c>
      <c r="K19" s="310">
        <f t="shared" si="4"/>
        <v>1.081339</v>
      </c>
      <c r="M19" s="64">
        <v>12.53</v>
      </c>
    </row>
    <row r="20" spans="2:13" ht="36">
      <c r="B20" s="371" t="s">
        <v>191</v>
      </c>
      <c r="C20" s="306" t="s">
        <v>108</v>
      </c>
      <c r="D20" s="307" t="s">
        <v>208</v>
      </c>
      <c r="E20" s="312" t="s">
        <v>1</v>
      </c>
      <c r="F20" s="312">
        <v>0.0074</v>
      </c>
      <c r="G20" s="308">
        <f t="shared" si="0"/>
        <v>3.6275</v>
      </c>
      <c r="H20" s="309">
        <f t="shared" si="1"/>
        <v>10.8825</v>
      </c>
      <c r="I20" s="309">
        <f t="shared" si="2"/>
        <v>0.0268435</v>
      </c>
      <c r="J20" s="309">
        <f t="shared" si="3"/>
        <v>0.0805305</v>
      </c>
      <c r="K20" s="310">
        <f t="shared" si="4"/>
        <v>0.107374</v>
      </c>
      <c r="M20" s="64">
        <v>14.51</v>
      </c>
    </row>
    <row r="21" spans="2:13" ht="27">
      <c r="B21" s="371" t="s">
        <v>192</v>
      </c>
      <c r="C21" s="306" t="s">
        <v>108</v>
      </c>
      <c r="D21" s="307" t="s">
        <v>209</v>
      </c>
      <c r="E21" s="312" t="s">
        <v>1</v>
      </c>
      <c r="F21" s="312">
        <v>0.0184</v>
      </c>
      <c r="G21" s="308">
        <f t="shared" si="0"/>
        <v>7.83</v>
      </c>
      <c r="H21" s="309">
        <f t="shared" si="1"/>
        <v>23.490000000000002</v>
      </c>
      <c r="I21" s="309">
        <f t="shared" si="2"/>
        <v>0.144072</v>
      </c>
      <c r="J21" s="309">
        <f t="shared" si="3"/>
        <v>0.43221600000000004</v>
      </c>
      <c r="K21" s="310">
        <f t="shared" si="4"/>
        <v>0.576288</v>
      </c>
      <c r="M21" s="64">
        <v>31.32</v>
      </c>
    </row>
    <row r="22" spans="2:13" ht="36">
      <c r="B22" s="371" t="s">
        <v>193</v>
      </c>
      <c r="C22" s="306" t="s">
        <v>108</v>
      </c>
      <c r="D22" s="307" t="s">
        <v>210</v>
      </c>
      <c r="E22" s="306" t="s">
        <v>1</v>
      </c>
      <c r="F22" s="311">
        <v>0.0367</v>
      </c>
      <c r="G22" s="308">
        <f t="shared" si="0"/>
        <v>10.03</v>
      </c>
      <c r="H22" s="309">
        <f t="shared" si="1"/>
        <v>30.089999999999996</v>
      </c>
      <c r="I22" s="309">
        <f t="shared" si="2"/>
        <v>0.368101</v>
      </c>
      <c r="J22" s="309">
        <f t="shared" si="3"/>
        <v>1.104303</v>
      </c>
      <c r="K22" s="310">
        <f t="shared" si="4"/>
        <v>1.472404</v>
      </c>
      <c r="M22" s="64">
        <v>40.12</v>
      </c>
    </row>
    <row r="23" spans="2:13" ht="27">
      <c r="B23" s="371" t="s">
        <v>194</v>
      </c>
      <c r="C23" s="306" t="s">
        <v>108</v>
      </c>
      <c r="D23" s="307" t="s">
        <v>211</v>
      </c>
      <c r="E23" s="312" t="s">
        <v>1</v>
      </c>
      <c r="F23" s="312">
        <v>0.0021</v>
      </c>
      <c r="G23" s="308">
        <f t="shared" si="0"/>
        <v>10.4625</v>
      </c>
      <c r="H23" s="309">
        <f t="shared" si="1"/>
        <v>31.387500000000003</v>
      </c>
      <c r="I23" s="309">
        <f t="shared" si="2"/>
        <v>0.021971249999999998</v>
      </c>
      <c r="J23" s="309">
        <f t="shared" si="3"/>
        <v>0.06591375000000001</v>
      </c>
      <c r="K23" s="310">
        <f t="shared" si="4"/>
        <v>0.087885</v>
      </c>
      <c r="M23" s="64">
        <v>41.85</v>
      </c>
    </row>
    <row r="24" spans="2:13" ht="27">
      <c r="B24" s="371" t="s">
        <v>195</v>
      </c>
      <c r="C24" s="306" t="s">
        <v>108</v>
      </c>
      <c r="D24" s="307" t="s">
        <v>212</v>
      </c>
      <c r="E24" s="312" t="s">
        <v>1</v>
      </c>
      <c r="F24" s="312">
        <v>0.0043</v>
      </c>
      <c r="G24" s="308">
        <f t="shared" si="0"/>
        <v>23.505</v>
      </c>
      <c r="H24" s="309">
        <f t="shared" si="1"/>
        <v>70.515</v>
      </c>
      <c r="I24" s="309">
        <f t="shared" si="2"/>
        <v>0.1010715</v>
      </c>
      <c r="J24" s="309">
        <f t="shared" si="3"/>
        <v>0.3032145</v>
      </c>
      <c r="K24" s="310">
        <f t="shared" si="4"/>
        <v>0.404286</v>
      </c>
      <c r="M24" s="64">
        <v>94.02</v>
      </c>
    </row>
    <row r="25" spans="2:13" ht="18">
      <c r="B25" s="371" t="s">
        <v>196</v>
      </c>
      <c r="C25" s="306" t="s">
        <v>108</v>
      </c>
      <c r="D25" s="307" t="s">
        <v>213</v>
      </c>
      <c r="E25" s="306" t="s">
        <v>1</v>
      </c>
      <c r="F25" s="311">
        <v>0.0566</v>
      </c>
      <c r="G25" s="308">
        <f t="shared" si="0"/>
        <v>8.9075</v>
      </c>
      <c r="H25" s="309">
        <f t="shared" si="1"/>
        <v>26.722500000000004</v>
      </c>
      <c r="I25" s="309">
        <f t="shared" si="2"/>
        <v>0.5041645</v>
      </c>
      <c r="J25" s="309">
        <f t="shared" si="3"/>
        <v>1.5124935000000002</v>
      </c>
      <c r="K25" s="310">
        <f t="shared" si="4"/>
        <v>2.016658</v>
      </c>
      <c r="M25" s="64">
        <v>35.63</v>
      </c>
    </row>
    <row r="26" spans="2:13" ht="18">
      <c r="B26" s="371" t="s">
        <v>197</v>
      </c>
      <c r="C26" s="306" t="s">
        <v>108</v>
      </c>
      <c r="D26" s="307" t="s">
        <v>214</v>
      </c>
      <c r="E26" s="312" t="s">
        <v>1</v>
      </c>
      <c r="F26" s="312">
        <v>0.2192</v>
      </c>
      <c r="G26" s="308">
        <f t="shared" si="0"/>
        <v>1.085</v>
      </c>
      <c r="H26" s="309">
        <f t="shared" si="1"/>
        <v>3.255</v>
      </c>
      <c r="I26" s="309">
        <f t="shared" si="2"/>
        <v>0.237832</v>
      </c>
      <c r="J26" s="309">
        <f t="shared" si="3"/>
        <v>0.713496</v>
      </c>
      <c r="K26" s="310">
        <f t="shared" si="4"/>
        <v>0.951328</v>
      </c>
      <c r="M26" s="64">
        <v>4.34</v>
      </c>
    </row>
    <row r="27" spans="2:13" ht="36">
      <c r="B27" s="371" t="s">
        <v>198</v>
      </c>
      <c r="C27" s="306" t="s">
        <v>108</v>
      </c>
      <c r="D27" s="307" t="s">
        <v>215</v>
      </c>
      <c r="E27" s="312" t="s">
        <v>132</v>
      </c>
      <c r="F27" s="312">
        <v>0.0178</v>
      </c>
      <c r="G27" s="308">
        <f t="shared" si="0"/>
        <v>1.1575</v>
      </c>
      <c r="H27" s="309">
        <f t="shared" si="1"/>
        <v>3.4725</v>
      </c>
      <c r="I27" s="309">
        <f t="shared" si="2"/>
        <v>0.0206035</v>
      </c>
      <c r="J27" s="309">
        <f t="shared" si="3"/>
        <v>0.061810500000000004</v>
      </c>
      <c r="K27" s="310">
        <f t="shared" si="4"/>
        <v>0.082414</v>
      </c>
      <c r="M27" s="64">
        <v>4.63</v>
      </c>
    </row>
    <row r="28" spans="2:13" ht="18">
      <c r="B28" s="371" t="s">
        <v>199</v>
      </c>
      <c r="C28" s="306" t="s">
        <v>108</v>
      </c>
      <c r="D28" s="307" t="s">
        <v>216</v>
      </c>
      <c r="E28" s="306" t="s">
        <v>1</v>
      </c>
      <c r="F28" s="306">
        <v>0.0566</v>
      </c>
      <c r="G28" s="308">
        <f t="shared" si="0"/>
        <v>1.0625</v>
      </c>
      <c r="H28" s="309">
        <f t="shared" si="1"/>
        <v>3.1875</v>
      </c>
      <c r="I28" s="309">
        <f t="shared" si="2"/>
        <v>0.060137499999999997</v>
      </c>
      <c r="J28" s="309">
        <f t="shared" si="3"/>
        <v>0.1804125</v>
      </c>
      <c r="K28" s="310">
        <f t="shared" si="4"/>
        <v>0.24054999999999999</v>
      </c>
      <c r="M28" s="64">
        <v>4.25</v>
      </c>
    </row>
    <row r="29" spans="2:13" ht="12.75">
      <c r="B29" s="313"/>
      <c r="C29" s="314"/>
      <c r="D29" s="315" t="s">
        <v>6</v>
      </c>
      <c r="E29" s="316"/>
      <c r="F29" s="316"/>
      <c r="G29" s="309"/>
      <c r="H29" s="309"/>
      <c r="I29" s="309"/>
      <c r="J29" s="309"/>
      <c r="K29" s="310">
        <f>SUM(K12:K28)</f>
        <v>37.32043099999999</v>
      </c>
      <c r="M29" s="64"/>
    </row>
    <row r="30" spans="2:11" ht="12.75">
      <c r="B30" s="317"/>
      <c r="C30" s="318"/>
      <c r="D30" s="318"/>
      <c r="E30" s="318"/>
      <c r="F30" s="318"/>
      <c r="G30" s="319"/>
      <c r="H30" s="319"/>
      <c r="I30" s="319"/>
      <c r="J30" s="319"/>
      <c r="K30" s="320"/>
    </row>
    <row r="31" spans="2:11" ht="12.75">
      <c r="B31" s="317"/>
      <c r="C31" s="318"/>
      <c r="D31" s="318" t="str">
        <f>'COMP.6'!D19</f>
        <v>Augusto Pestana, 22 de janeiro de 2018.</v>
      </c>
      <c r="E31" s="318"/>
      <c r="F31" s="318"/>
      <c r="G31" s="319"/>
      <c r="H31" s="319"/>
      <c r="I31" s="321" t="s">
        <v>44</v>
      </c>
      <c r="J31" s="321"/>
      <c r="K31" s="322">
        <f>SUM(I12:I28)</f>
        <v>9.330107749999998</v>
      </c>
    </row>
    <row r="32" spans="2:11" ht="13.5" thickBot="1">
      <c r="B32" s="323"/>
      <c r="C32" s="324"/>
      <c r="D32" s="325"/>
      <c r="E32" s="325"/>
      <c r="F32" s="325"/>
      <c r="G32" s="326"/>
      <c r="H32" s="326"/>
      <c r="I32" s="327" t="s">
        <v>26</v>
      </c>
      <c r="J32" s="327"/>
      <c r="K32" s="328">
        <f>SUM(J12:J28)</f>
        <v>27.99032325</v>
      </c>
    </row>
    <row r="33" spans="2:11" ht="12.75">
      <c r="B33" s="298"/>
      <c r="C33" s="298"/>
      <c r="D33" s="329"/>
      <c r="E33" s="329"/>
      <c r="F33" s="329"/>
      <c r="G33" s="330"/>
      <c r="H33" s="330"/>
      <c r="I33" s="331" t="s">
        <v>6</v>
      </c>
      <c r="J33" s="331"/>
      <c r="K33" s="331">
        <f>SUM(K31:K32)</f>
        <v>37.320431</v>
      </c>
    </row>
    <row r="34" spans="2:11" ht="12.75">
      <c r="B34" s="298"/>
      <c r="C34" s="298"/>
      <c r="D34" s="298"/>
      <c r="E34" s="298"/>
      <c r="F34" s="298"/>
      <c r="G34" s="298"/>
      <c r="H34" s="298"/>
      <c r="I34" s="298"/>
      <c r="J34" s="298"/>
      <c r="K34" s="298"/>
    </row>
    <row r="37" spans="7:8" ht="12.75" hidden="1">
      <c r="G37" t="s">
        <v>23</v>
      </c>
      <c r="H37" t="s">
        <v>24</v>
      </c>
    </row>
    <row r="38" spans="7:8" ht="12.75" hidden="1">
      <c r="G38">
        <v>27</v>
      </c>
      <c r="H38">
        <v>25</v>
      </c>
    </row>
  </sheetData>
  <sheetProtection/>
  <mergeCells count="1">
    <mergeCell ref="B9:K9"/>
  </mergeCells>
  <conditionalFormatting sqref="E12:G12 E28:F28 G25:G28">
    <cfRule type="expression" priority="17" dxfId="0" stopIfTrue="1">
      <formula>$K12=1</formula>
    </cfRule>
  </conditionalFormatting>
  <conditionalFormatting sqref="C12">
    <cfRule type="expression" priority="16" dxfId="0" stopIfTrue="1">
      <formula>$K12=1</formula>
    </cfRule>
  </conditionalFormatting>
  <conditionalFormatting sqref="E25">
    <cfRule type="expression" priority="15" dxfId="0" stopIfTrue="1">
      <formula>$K25=1</formula>
    </cfRule>
  </conditionalFormatting>
  <conditionalFormatting sqref="C25:C28">
    <cfRule type="expression" priority="18" dxfId="0" stopIfTrue="1">
      <formula>'COMP.32'!#REF!=1</formula>
    </cfRule>
  </conditionalFormatting>
  <conditionalFormatting sqref="G22:G24">
    <cfRule type="expression" priority="13" dxfId="0" stopIfTrue="1">
      <formula>$K22=1</formula>
    </cfRule>
  </conditionalFormatting>
  <conditionalFormatting sqref="E22">
    <cfRule type="expression" priority="12" dxfId="0" stopIfTrue="1">
      <formula>$K22=1</formula>
    </cfRule>
  </conditionalFormatting>
  <conditionalFormatting sqref="C22:C24">
    <cfRule type="expression" priority="14" dxfId="0" stopIfTrue="1">
      <formula>'COMP.32'!#REF!=1</formula>
    </cfRule>
  </conditionalFormatting>
  <conditionalFormatting sqref="G19:G21">
    <cfRule type="expression" priority="10" dxfId="0" stopIfTrue="1">
      <formula>$K19=1</formula>
    </cfRule>
  </conditionalFormatting>
  <conditionalFormatting sqref="E19">
    <cfRule type="expression" priority="9" dxfId="0" stopIfTrue="1">
      <formula>$K19=1</formula>
    </cfRule>
  </conditionalFormatting>
  <conditionalFormatting sqref="C19:C21">
    <cfRule type="expression" priority="11" dxfId="0" stopIfTrue="1">
      <formula>'COMP.32'!#REF!=1</formula>
    </cfRule>
  </conditionalFormatting>
  <conditionalFormatting sqref="G13 G17:G18">
    <cfRule type="expression" priority="7" dxfId="0" stopIfTrue="1">
      <formula>$K13=1</formula>
    </cfRule>
  </conditionalFormatting>
  <conditionalFormatting sqref="E13">
    <cfRule type="expression" priority="6" dxfId="0" stopIfTrue="1">
      <formula>$K13=1</formula>
    </cfRule>
  </conditionalFormatting>
  <conditionalFormatting sqref="C13 C17:C18">
    <cfRule type="expression" priority="8" dxfId="0" stopIfTrue="1">
      <formula>'COMP.32'!#REF!=1</formula>
    </cfRule>
  </conditionalFormatting>
  <conditionalFormatting sqref="G16">
    <cfRule type="expression" priority="4" dxfId="0" stopIfTrue="1">
      <formula>$K16=1</formula>
    </cfRule>
  </conditionalFormatting>
  <conditionalFormatting sqref="E16">
    <cfRule type="expression" priority="3" dxfId="0" stopIfTrue="1">
      <formula>$K16=1</formula>
    </cfRule>
  </conditionalFormatting>
  <conditionalFormatting sqref="C16">
    <cfRule type="expression" priority="5" dxfId="0" stopIfTrue="1">
      <formula>'COMP.32'!#REF!=1</formula>
    </cfRule>
  </conditionalFormatting>
  <conditionalFormatting sqref="G14:G15">
    <cfRule type="expression" priority="1" dxfId="0" stopIfTrue="1">
      <formula>$K14=1</formula>
    </cfRule>
  </conditionalFormatting>
  <conditionalFormatting sqref="C14:C15">
    <cfRule type="expression" priority="2" dxfId="0" stopIfTrue="1">
      <formula>'COMP.32'!#REF!=1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27"/>
  <sheetViews>
    <sheetView zoomScale="85" zoomScaleNormal="85" zoomScaleSheetLayoutView="85" zoomScalePageLayoutView="0" workbookViewId="0" topLeftCell="A4">
      <selection activeCell="B8" sqref="B8:K22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401" t="s">
        <v>229</v>
      </c>
      <c r="C9" s="405"/>
      <c r="D9" s="405"/>
      <c r="E9" s="405"/>
      <c r="F9" s="405"/>
      <c r="G9" s="405"/>
      <c r="H9" s="405"/>
      <c r="I9" s="405"/>
      <c r="J9" s="405"/>
      <c r="K9" s="406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3" ht="12.75">
      <c r="B12" s="370" t="s">
        <v>230</v>
      </c>
      <c r="C12" s="340" t="s">
        <v>108</v>
      </c>
      <c r="D12" s="339" t="s">
        <v>231</v>
      </c>
      <c r="E12" s="340" t="s">
        <v>109</v>
      </c>
      <c r="F12" s="368">
        <v>0.025</v>
      </c>
      <c r="G12" s="341">
        <f aca="true" t="shared" si="0" ref="G12:G17">M12*0.25</f>
        <v>24.2075</v>
      </c>
      <c r="H12" s="342">
        <f aca="true" t="shared" si="1" ref="H12:H17">M12-G12</f>
        <v>72.6225</v>
      </c>
      <c r="I12" s="342">
        <f aca="true" t="shared" si="2" ref="I12:I17">F12*G12</f>
        <v>0.6051875</v>
      </c>
      <c r="J12" s="342">
        <f aca="true" t="shared" si="3" ref="J12:J17">F12*H12</f>
        <v>1.8155625000000002</v>
      </c>
      <c r="K12" s="343">
        <f aca="true" t="shared" si="4" ref="K12:K17">I12+J12</f>
        <v>2.42075</v>
      </c>
      <c r="M12" s="64">
        <v>96.83</v>
      </c>
    </row>
    <row r="13" spans="2:13" ht="22.5">
      <c r="B13" s="370" t="s">
        <v>236</v>
      </c>
      <c r="C13" s="340" t="s">
        <v>108</v>
      </c>
      <c r="D13" s="339" t="s">
        <v>237</v>
      </c>
      <c r="E13" s="340" t="s">
        <v>19</v>
      </c>
      <c r="F13" s="369">
        <v>1</v>
      </c>
      <c r="G13" s="341">
        <f t="shared" si="0"/>
        <v>3.185</v>
      </c>
      <c r="H13" s="342">
        <f t="shared" si="1"/>
        <v>9.555</v>
      </c>
      <c r="I13" s="342">
        <f t="shared" si="2"/>
        <v>3.185</v>
      </c>
      <c r="J13" s="342">
        <f t="shared" si="3"/>
        <v>9.555</v>
      </c>
      <c r="K13" s="343">
        <f t="shared" si="4"/>
        <v>12.74</v>
      </c>
      <c r="M13" s="64">
        <v>12.74</v>
      </c>
    </row>
    <row r="14" spans="2:13" ht="22.5">
      <c r="B14" s="370" t="s">
        <v>232</v>
      </c>
      <c r="C14" s="340" t="s">
        <v>108</v>
      </c>
      <c r="D14" s="339" t="s">
        <v>233</v>
      </c>
      <c r="E14" s="365" t="s">
        <v>19</v>
      </c>
      <c r="F14" s="369">
        <v>1</v>
      </c>
      <c r="G14" s="341">
        <f t="shared" si="0"/>
        <v>2.3725</v>
      </c>
      <c r="H14" s="342">
        <f t="shared" si="1"/>
        <v>7.1175</v>
      </c>
      <c r="I14" s="342">
        <f t="shared" si="2"/>
        <v>2.3725</v>
      </c>
      <c r="J14" s="342">
        <f t="shared" si="3"/>
        <v>7.1175</v>
      </c>
      <c r="K14" s="343">
        <f t="shared" si="4"/>
        <v>9.49</v>
      </c>
      <c r="M14" s="64">
        <v>9.49</v>
      </c>
    </row>
    <row r="15" spans="2:13" ht="33.75">
      <c r="B15" s="370" t="s">
        <v>104</v>
      </c>
      <c r="C15" s="340" t="s">
        <v>108</v>
      </c>
      <c r="D15" s="339" t="s">
        <v>106</v>
      </c>
      <c r="E15" s="365" t="s">
        <v>109</v>
      </c>
      <c r="F15" s="369">
        <f>1*1*0.05</f>
        <v>0.05</v>
      </c>
      <c r="G15" s="341">
        <f t="shared" si="0"/>
        <v>74.1575</v>
      </c>
      <c r="H15" s="342">
        <f t="shared" si="1"/>
        <v>222.4725</v>
      </c>
      <c r="I15" s="342">
        <f t="shared" si="2"/>
        <v>3.707875</v>
      </c>
      <c r="J15" s="342">
        <f t="shared" si="3"/>
        <v>11.123625</v>
      </c>
      <c r="K15" s="343">
        <f t="shared" si="4"/>
        <v>14.8315</v>
      </c>
      <c r="M15" s="64">
        <v>296.63</v>
      </c>
    </row>
    <row r="16" spans="2:13" ht="22.5">
      <c r="B16" s="370" t="s">
        <v>114</v>
      </c>
      <c r="C16" s="340" t="s">
        <v>108</v>
      </c>
      <c r="D16" s="339" t="s">
        <v>115</v>
      </c>
      <c r="E16" s="365" t="s">
        <v>109</v>
      </c>
      <c r="F16" s="369">
        <f>F15</f>
        <v>0.05</v>
      </c>
      <c r="G16" s="341">
        <f t="shared" si="0"/>
        <v>38.6625</v>
      </c>
      <c r="H16" s="342">
        <f t="shared" si="1"/>
        <v>115.98750000000001</v>
      </c>
      <c r="I16" s="342">
        <f t="shared" si="2"/>
        <v>1.9331250000000002</v>
      </c>
      <c r="J16" s="342">
        <f t="shared" si="3"/>
        <v>5.799375000000001</v>
      </c>
      <c r="K16" s="343">
        <f t="shared" si="4"/>
        <v>7.732500000000002</v>
      </c>
      <c r="M16" s="64">
        <v>154.65</v>
      </c>
    </row>
    <row r="17" spans="2:13" ht="12.75">
      <c r="B17" s="370" t="s">
        <v>173</v>
      </c>
      <c r="C17" s="340" t="s">
        <v>108</v>
      </c>
      <c r="D17" s="339" t="s">
        <v>175</v>
      </c>
      <c r="E17" s="365" t="s">
        <v>25</v>
      </c>
      <c r="F17" s="369">
        <v>0.06</v>
      </c>
      <c r="G17" s="341">
        <f t="shared" si="0"/>
        <v>3.755</v>
      </c>
      <c r="H17" s="342">
        <f t="shared" si="1"/>
        <v>11.265</v>
      </c>
      <c r="I17" s="342">
        <f t="shared" si="2"/>
        <v>0.22529999999999997</v>
      </c>
      <c r="J17" s="342">
        <f t="shared" si="3"/>
        <v>0.6759000000000001</v>
      </c>
      <c r="K17" s="343">
        <f t="shared" si="4"/>
        <v>0.9012</v>
      </c>
      <c r="M17" s="64">
        <v>15.02</v>
      </c>
    </row>
    <row r="18" spans="2:13" ht="12.75">
      <c r="B18" s="346"/>
      <c r="C18" s="347"/>
      <c r="D18" s="348" t="s">
        <v>6</v>
      </c>
      <c r="E18" s="349"/>
      <c r="F18" s="372"/>
      <c r="G18" s="342"/>
      <c r="H18" s="342"/>
      <c r="I18" s="342"/>
      <c r="J18" s="342"/>
      <c r="K18" s="343">
        <f>SUM(K12:K17)</f>
        <v>48.115950000000005</v>
      </c>
      <c r="M18" s="64"/>
    </row>
    <row r="19" spans="2:11" ht="12.75">
      <c r="B19" s="350"/>
      <c r="C19" s="351"/>
      <c r="D19" s="351"/>
      <c r="E19" s="351"/>
      <c r="F19" s="351"/>
      <c r="G19" s="352"/>
      <c r="H19" s="352"/>
      <c r="I19" s="352"/>
      <c r="J19" s="352"/>
      <c r="K19" s="353"/>
    </row>
    <row r="20" spans="2:11" ht="12.75">
      <c r="B20" s="350"/>
      <c r="C20" s="351"/>
      <c r="D20" s="351" t="str">
        <f>'COMP.6'!D19</f>
        <v>Augusto Pestana, 22 de janeiro de 2018.</v>
      </c>
      <c r="E20" s="351"/>
      <c r="F20" s="351"/>
      <c r="G20" s="352"/>
      <c r="H20" s="352"/>
      <c r="I20" s="354" t="s">
        <v>44</v>
      </c>
      <c r="J20" s="354"/>
      <c r="K20" s="355">
        <f>SUM(I12:I17)</f>
        <v>12.028987500000001</v>
      </c>
    </row>
    <row r="21" spans="2:11" ht="13.5" thickBot="1">
      <c r="B21" s="356"/>
      <c r="C21" s="357"/>
      <c r="D21" s="358"/>
      <c r="E21" s="358"/>
      <c r="F21" s="358"/>
      <c r="G21" s="359"/>
      <c r="H21" s="359"/>
      <c r="I21" s="360" t="s">
        <v>26</v>
      </c>
      <c r="J21" s="360"/>
      <c r="K21" s="361">
        <f>SUM(J12:J17)</f>
        <v>36.0869625</v>
      </c>
    </row>
    <row r="22" spans="2:11" ht="12.75">
      <c r="B22" s="332"/>
      <c r="C22" s="332"/>
      <c r="D22" s="362"/>
      <c r="E22" s="362"/>
      <c r="F22" s="362"/>
      <c r="G22" s="363"/>
      <c r="H22" s="363"/>
      <c r="I22" s="364" t="s">
        <v>6</v>
      </c>
      <c r="J22" s="364"/>
      <c r="K22" s="364">
        <f>SUM(K20:K21)</f>
        <v>48.11595</v>
      </c>
    </row>
    <row r="26" spans="7:8" ht="12.75" hidden="1">
      <c r="G26" t="s">
        <v>23</v>
      </c>
      <c r="H26" t="s">
        <v>24</v>
      </c>
    </row>
    <row r="27" spans="7:8" ht="12.75" hidden="1">
      <c r="G27">
        <v>27</v>
      </c>
      <c r="H27">
        <v>25</v>
      </c>
    </row>
  </sheetData>
  <sheetProtection/>
  <mergeCells count="1">
    <mergeCell ref="B9:K9"/>
  </mergeCells>
  <conditionalFormatting sqref="E12:G12">
    <cfRule type="expression" priority="21" dxfId="0" stopIfTrue="1">
      <formula>$K12=1</formula>
    </cfRule>
  </conditionalFormatting>
  <conditionalFormatting sqref="C12">
    <cfRule type="expression" priority="20" dxfId="0" stopIfTrue="1">
      <formula>$K12=1</formula>
    </cfRule>
  </conditionalFormatting>
  <conditionalFormatting sqref="G13">
    <cfRule type="expression" priority="11" dxfId="0" stopIfTrue="1">
      <formula>$K13=1</formula>
    </cfRule>
  </conditionalFormatting>
  <conditionalFormatting sqref="E13">
    <cfRule type="expression" priority="10" dxfId="0" stopIfTrue="1">
      <formula>$K13=1</formula>
    </cfRule>
  </conditionalFormatting>
  <conditionalFormatting sqref="C13">
    <cfRule type="expression" priority="12" dxfId="0" stopIfTrue="1">
      <formula>'COMP.33'!#REF!=1</formula>
    </cfRule>
  </conditionalFormatting>
  <conditionalFormatting sqref="G14 G17">
    <cfRule type="expression" priority="5" dxfId="0" stopIfTrue="1">
      <formula>$K14=1</formula>
    </cfRule>
  </conditionalFormatting>
  <conditionalFormatting sqref="C14 C17">
    <cfRule type="expression" priority="6" dxfId="0" stopIfTrue="1">
      <formula>'COMP.33'!#REF!=1</formula>
    </cfRule>
  </conditionalFormatting>
  <conditionalFormatting sqref="G15">
    <cfRule type="expression" priority="3" dxfId="0" stopIfTrue="1">
      <formula>$K15=1</formula>
    </cfRule>
  </conditionalFormatting>
  <conditionalFormatting sqref="C15:C16">
    <cfRule type="expression" priority="4" dxfId="0" stopIfTrue="1">
      <formula>'COMP.33'!#REF!=1</formula>
    </cfRule>
  </conditionalFormatting>
  <conditionalFormatting sqref="G16">
    <cfRule type="expression" priority="1" dxfId="0" stopIfTrue="1">
      <formula>$K16=1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23"/>
  <sheetViews>
    <sheetView zoomScale="85" zoomScaleNormal="85" zoomScaleSheetLayoutView="85" zoomScalePageLayoutView="0" workbookViewId="0" topLeftCell="A1">
      <selection activeCell="B8" sqref="B8:K19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241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5" ht="33.75">
      <c r="B12" s="346" t="s">
        <v>243</v>
      </c>
      <c r="C12" s="340" t="s">
        <v>108</v>
      </c>
      <c r="D12" s="339" t="s">
        <v>244</v>
      </c>
      <c r="E12" s="340" t="s">
        <v>109</v>
      </c>
      <c r="F12" s="340">
        <v>0.024</v>
      </c>
      <c r="G12" s="341">
        <f>O12*0.25</f>
        <v>79.7175</v>
      </c>
      <c r="H12" s="342">
        <f>O12-G12</f>
        <v>239.1525</v>
      </c>
      <c r="I12" s="342">
        <f>F12*G12</f>
        <v>1.9132200000000001</v>
      </c>
      <c r="J12" s="342">
        <f>F12*H12</f>
        <v>5.73966</v>
      </c>
      <c r="K12" s="343">
        <f>I12+J12</f>
        <v>7.65288</v>
      </c>
      <c r="O12" s="63" t="s">
        <v>245</v>
      </c>
    </row>
    <row r="13" spans="2:15" ht="22.5">
      <c r="B13" s="346" t="s">
        <v>114</v>
      </c>
      <c r="C13" s="340" t="s">
        <v>108</v>
      </c>
      <c r="D13" s="339" t="s">
        <v>115</v>
      </c>
      <c r="E13" s="365" t="s">
        <v>109</v>
      </c>
      <c r="F13" s="365">
        <f>F12</f>
        <v>0.024</v>
      </c>
      <c r="G13" s="341">
        <f>O13*0.25</f>
        <v>38.6625</v>
      </c>
      <c r="H13" s="342">
        <f>O13-G13</f>
        <v>115.98750000000001</v>
      </c>
      <c r="I13" s="342">
        <f>F13*G13</f>
        <v>0.9279000000000001</v>
      </c>
      <c r="J13" s="342">
        <f>F13*H13</f>
        <v>2.7837000000000005</v>
      </c>
      <c r="K13" s="343">
        <f>I13+J13</f>
        <v>3.7116000000000007</v>
      </c>
      <c r="O13" s="63">
        <v>154.65</v>
      </c>
    </row>
    <row r="14" spans="2:11" ht="12.75">
      <c r="B14" s="346"/>
      <c r="C14" s="347"/>
      <c r="D14" s="348" t="s">
        <v>6</v>
      </c>
      <c r="E14" s="349"/>
      <c r="F14" s="349"/>
      <c r="G14" s="342"/>
      <c r="H14" s="342"/>
      <c r="I14" s="342"/>
      <c r="J14" s="342"/>
      <c r="K14" s="343">
        <f>SUM(K12:K13)</f>
        <v>11.36448</v>
      </c>
    </row>
    <row r="15" spans="2:11" ht="12.75">
      <c r="B15" s="350"/>
      <c r="C15" s="351"/>
      <c r="D15" s="351"/>
      <c r="E15" s="351"/>
      <c r="F15" s="351"/>
      <c r="G15" s="352"/>
      <c r="H15" s="352"/>
      <c r="I15" s="352"/>
      <c r="J15" s="352"/>
      <c r="K15" s="353"/>
    </row>
    <row r="16" spans="2:11" ht="12.75">
      <c r="B16" s="350"/>
      <c r="C16" s="351"/>
      <c r="D16" s="351" t="str">
        <f>'COMP.6'!D19</f>
        <v>Augusto Pestana, 22 de janeiro de 2018.</v>
      </c>
      <c r="E16" s="351"/>
      <c r="F16" s="351"/>
      <c r="G16" s="352"/>
      <c r="H16" s="352"/>
      <c r="I16" s="354" t="s">
        <v>44</v>
      </c>
      <c r="J16" s="354"/>
      <c r="K16" s="355">
        <f>SUM(I12:I13)</f>
        <v>2.84112</v>
      </c>
    </row>
    <row r="17" spans="2:11" ht="13.5" thickBot="1">
      <c r="B17" s="356"/>
      <c r="C17" s="357"/>
      <c r="D17" s="358"/>
      <c r="E17" s="358"/>
      <c r="F17" s="358"/>
      <c r="G17" s="359"/>
      <c r="H17" s="359"/>
      <c r="I17" s="360" t="s">
        <v>26</v>
      </c>
      <c r="J17" s="360"/>
      <c r="K17" s="361">
        <f>SUM(J12:J13)</f>
        <v>8.52336</v>
      </c>
    </row>
    <row r="18" spans="2:11" ht="12.75">
      <c r="B18" s="332"/>
      <c r="C18" s="332"/>
      <c r="D18" s="362"/>
      <c r="E18" s="362"/>
      <c r="F18" s="362"/>
      <c r="G18" s="363"/>
      <c r="H18" s="363"/>
      <c r="I18" s="364" t="s">
        <v>6</v>
      </c>
      <c r="J18" s="364"/>
      <c r="K18" s="364">
        <f>SUM(K16:K17)</f>
        <v>11.36448</v>
      </c>
    </row>
    <row r="19" spans="2:11" ht="12.75">
      <c r="B19" s="332"/>
      <c r="C19" s="332"/>
      <c r="D19" s="332"/>
      <c r="E19" s="332"/>
      <c r="F19" s="332"/>
      <c r="G19" s="332"/>
      <c r="H19" s="332"/>
      <c r="I19" s="332"/>
      <c r="J19" s="332"/>
      <c r="K19" s="332"/>
    </row>
    <row r="22" spans="7:8" ht="12.75" hidden="1">
      <c r="G22" t="s">
        <v>23</v>
      </c>
      <c r="H22" t="s">
        <v>24</v>
      </c>
    </row>
    <row r="23" spans="7:8" ht="12.75" hidden="1">
      <c r="G23">
        <v>27</v>
      </c>
      <c r="H23">
        <v>25</v>
      </c>
    </row>
  </sheetData>
  <sheetProtection/>
  <mergeCells count="1">
    <mergeCell ref="B9:K9"/>
  </mergeCells>
  <conditionalFormatting sqref="E12:G12">
    <cfRule type="expression" priority="6" dxfId="0" stopIfTrue="1">
      <formula>$K12=1</formula>
    </cfRule>
  </conditionalFormatting>
  <conditionalFormatting sqref="C12">
    <cfRule type="expression" priority="5" dxfId="0" stopIfTrue="1">
      <formula>$K12=1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24"/>
  <sheetViews>
    <sheetView zoomScale="85" zoomScaleNormal="85" zoomScaleSheetLayoutView="85" zoomScalePageLayoutView="0" workbookViewId="0" topLeftCell="A1">
      <selection activeCell="B8" sqref="B8:K19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401" t="s">
        <v>255</v>
      </c>
      <c r="C9" s="405"/>
      <c r="D9" s="405"/>
      <c r="E9" s="405"/>
      <c r="F9" s="405"/>
      <c r="G9" s="405"/>
      <c r="H9" s="405"/>
      <c r="I9" s="405"/>
      <c r="J9" s="405"/>
      <c r="K9" s="406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3" ht="22.5">
      <c r="B12" s="370" t="s">
        <v>256</v>
      </c>
      <c r="C12" s="340" t="s">
        <v>257</v>
      </c>
      <c r="D12" s="339" t="s">
        <v>258</v>
      </c>
      <c r="E12" s="340" t="s">
        <v>1</v>
      </c>
      <c r="F12" s="368">
        <v>1</v>
      </c>
      <c r="G12" s="341">
        <f>M12*0.25</f>
        <v>1.56</v>
      </c>
      <c r="H12" s="342">
        <f>M12-G12</f>
        <v>4.68</v>
      </c>
      <c r="I12" s="342">
        <f>F12*G12</f>
        <v>1.56</v>
      </c>
      <c r="J12" s="342">
        <f>F12*H12</f>
        <v>4.68</v>
      </c>
      <c r="K12" s="343">
        <f>I12+J12</f>
        <v>6.24</v>
      </c>
      <c r="M12" s="64">
        <v>6.24</v>
      </c>
    </row>
    <row r="13" spans="2:13" ht="22.5">
      <c r="B13" s="370" t="s">
        <v>259</v>
      </c>
      <c r="C13" s="340" t="s">
        <v>108</v>
      </c>
      <c r="D13" s="339" t="s">
        <v>260</v>
      </c>
      <c r="E13" s="340" t="s">
        <v>25</v>
      </c>
      <c r="F13" s="369">
        <v>0.15</v>
      </c>
      <c r="G13" s="341">
        <f>M13*0.25</f>
        <v>3.795</v>
      </c>
      <c r="H13" s="342">
        <f>M13-G13</f>
        <v>11.385</v>
      </c>
      <c r="I13" s="342">
        <f>F13*G13</f>
        <v>0.5692499999999999</v>
      </c>
      <c r="J13" s="342">
        <f>F13*H13</f>
        <v>1.7077499999999999</v>
      </c>
      <c r="K13" s="343">
        <f>I13+J13</f>
        <v>2.2769999999999997</v>
      </c>
      <c r="M13" s="64">
        <v>15.18</v>
      </c>
    </row>
    <row r="14" spans="2:13" ht="12.75">
      <c r="B14" s="370" t="s">
        <v>261</v>
      </c>
      <c r="C14" s="340" t="s">
        <v>108</v>
      </c>
      <c r="D14" s="339" t="s">
        <v>262</v>
      </c>
      <c r="E14" s="365" t="s">
        <v>25</v>
      </c>
      <c r="F14" s="369">
        <v>0.1</v>
      </c>
      <c r="G14" s="341">
        <f>M14*0.25</f>
        <v>4.7225</v>
      </c>
      <c r="H14" s="342">
        <f>M14-G14</f>
        <v>14.1675</v>
      </c>
      <c r="I14" s="342">
        <f>F14*G14</f>
        <v>0.47225000000000006</v>
      </c>
      <c r="J14" s="342">
        <f>F14*H14</f>
        <v>1.4167500000000002</v>
      </c>
      <c r="K14" s="343">
        <f>I14+J14</f>
        <v>1.8890000000000002</v>
      </c>
      <c r="M14" s="64">
        <v>18.89</v>
      </c>
    </row>
    <row r="15" spans="2:13" ht="12.75">
      <c r="B15" s="346"/>
      <c r="C15" s="347"/>
      <c r="D15" s="348" t="s">
        <v>6</v>
      </c>
      <c r="E15" s="349"/>
      <c r="F15" s="372"/>
      <c r="G15" s="342"/>
      <c r="H15" s="342"/>
      <c r="I15" s="342"/>
      <c r="J15" s="342"/>
      <c r="K15" s="343">
        <f>SUM(K12:K14)</f>
        <v>10.405999999999999</v>
      </c>
      <c r="M15" s="64"/>
    </row>
    <row r="16" spans="2:11" ht="12.75">
      <c r="B16" s="350"/>
      <c r="C16" s="351"/>
      <c r="D16" s="351"/>
      <c r="E16" s="351"/>
      <c r="F16" s="351"/>
      <c r="G16" s="352"/>
      <c r="H16" s="352"/>
      <c r="I16" s="352"/>
      <c r="J16" s="352"/>
      <c r="K16" s="353"/>
    </row>
    <row r="17" spans="2:11" ht="12.75">
      <c r="B17" s="350"/>
      <c r="C17" s="351"/>
      <c r="D17" s="351" t="str">
        <f>'COMP.6'!D19</f>
        <v>Augusto Pestana, 22 de janeiro de 2018.</v>
      </c>
      <c r="E17" s="351"/>
      <c r="F17" s="351"/>
      <c r="G17" s="352"/>
      <c r="H17" s="352"/>
      <c r="I17" s="354" t="s">
        <v>44</v>
      </c>
      <c r="J17" s="354"/>
      <c r="K17" s="355">
        <f>SUM(I12:I14)</f>
        <v>2.6014999999999997</v>
      </c>
    </row>
    <row r="18" spans="2:11" ht="13.5" thickBot="1">
      <c r="B18" s="356"/>
      <c r="C18" s="357"/>
      <c r="D18" s="358"/>
      <c r="E18" s="358"/>
      <c r="F18" s="358"/>
      <c r="G18" s="359"/>
      <c r="H18" s="359"/>
      <c r="I18" s="360" t="s">
        <v>26</v>
      </c>
      <c r="J18" s="360"/>
      <c r="K18" s="361">
        <f>SUM(J12:J14)</f>
        <v>7.8045</v>
      </c>
    </row>
    <row r="19" spans="2:11" ht="12.75">
      <c r="B19" s="332"/>
      <c r="C19" s="332"/>
      <c r="D19" s="362"/>
      <c r="E19" s="362"/>
      <c r="F19" s="362"/>
      <c r="G19" s="363"/>
      <c r="H19" s="363"/>
      <c r="I19" s="364" t="s">
        <v>6</v>
      </c>
      <c r="J19" s="364"/>
      <c r="K19" s="364">
        <f>SUM(K17:K18)</f>
        <v>10.405999999999999</v>
      </c>
    </row>
    <row r="23" spans="7:8" ht="12.75" hidden="1">
      <c r="G23" t="s">
        <v>23</v>
      </c>
      <c r="H23" t="s">
        <v>24</v>
      </c>
    </row>
    <row r="24" spans="7:8" ht="12.75" hidden="1">
      <c r="G24">
        <v>27</v>
      </c>
      <c r="H24">
        <v>25</v>
      </c>
    </row>
  </sheetData>
  <sheetProtection/>
  <mergeCells count="1">
    <mergeCell ref="B9:K9"/>
  </mergeCells>
  <conditionalFormatting sqref="E12:G12">
    <cfRule type="expression" priority="10" dxfId="0" stopIfTrue="1">
      <formula>$K12=1</formula>
    </cfRule>
  </conditionalFormatting>
  <conditionalFormatting sqref="C12">
    <cfRule type="expression" priority="9" dxfId="0" stopIfTrue="1">
      <formula>$K12=1</formula>
    </cfRule>
  </conditionalFormatting>
  <conditionalFormatting sqref="G13">
    <cfRule type="expression" priority="7" dxfId="0" stopIfTrue="1">
      <formula>$K13=1</formula>
    </cfRule>
  </conditionalFormatting>
  <conditionalFormatting sqref="E13">
    <cfRule type="expression" priority="6" dxfId="0" stopIfTrue="1">
      <formula>$K13=1</formula>
    </cfRule>
  </conditionalFormatting>
  <conditionalFormatting sqref="C13:C14">
    <cfRule type="expression" priority="8" dxfId="0" stopIfTrue="1">
      <formula>'COMP.35'!#REF!=1</formula>
    </cfRule>
  </conditionalFormatting>
  <conditionalFormatting sqref="G14">
    <cfRule type="expression" priority="4" dxfId="0" stopIfTrue="1">
      <formula>$K14=1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38"/>
  <sheetViews>
    <sheetView zoomScale="85" zoomScaleNormal="85" zoomScaleSheetLayoutView="85" zoomScalePageLayoutView="0" workbookViewId="0" topLeftCell="A1">
      <selection activeCell="B8" sqref="B8:K22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401" t="s">
        <v>293</v>
      </c>
      <c r="C9" s="405"/>
      <c r="D9" s="405"/>
      <c r="E9" s="405"/>
      <c r="F9" s="405"/>
      <c r="G9" s="405"/>
      <c r="H9" s="405"/>
      <c r="I9" s="405"/>
      <c r="J9" s="405"/>
      <c r="K9" s="406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3" ht="33.75">
      <c r="B12" s="370">
        <v>72132</v>
      </c>
      <c r="C12" s="340" t="s">
        <v>108</v>
      </c>
      <c r="D12" s="339" t="s">
        <v>268</v>
      </c>
      <c r="E12" s="340" t="s">
        <v>19</v>
      </c>
      <c r="F12" s="368">
        <v>15.08</v>
      </c>
      <c r="G12" s="341">
        <f aca="true" t="shared" si="0" ref="G12:G17">M12*0.25</f>
        <v>14.59</v>
      </c>
      <c r="H12" s="342">
        <f aca="true" t="shared" si="1" ref="H12:H17">M12-G12</f>
        <v>43.769999999999996</v>
      </c>
      <c r="I12" s="342">
        <f aca="true" t="shared" si="2" ref="I12:I17">F12*G12</f>
        <v>220.0172</v>
      </c>
      <c r="J12" s="342">
        <f aca="true" t="shared" si="3" ref="J12:J17">F12*H12</f>
        <v>660.0515999999999</v>
      </c>
      <c r="K12" s="343">
        <f aca="true" t="shared" si="4" ref="K12:K17">I12+J12</f>
        <v>880.0687999999999</v>
      </c>
      <c r="M12" s="64">
        <v>58.36</v>
      </c>
    </row>
    <row r="13" spans="2:13" ht="12.75">
      <c r="B13" s="370" t="s">
        <v>271</v>
      </c>
      <c r="C13" s="340" t="s">
        <v>108</v>
      </c>
      <c r="D13" s="339" t="s">
        <v>272</v>
      </c>
      <c r="E13" s="340" t="s">
        <v>19</v>
      </c>
      <c r="F13" s="368">
        <v>15.9</v>
      </c>
      <c r="G13" s="341">
        <f>'COMP.33'!K20</f>
        <v>12.028987500000001</v>
      </c>
      <c r="H13" s="342">
        <f>'COMP.33'!K21</f>
        <v>36.0869625</v>
      </c>
      <c r="I13" s="342">
        <f>F13*G13</f>
        <v>191.26090125000002</v>
      </c>
      <c r="J13" s="342">
        <f>F13*H13</f>
        <v>573.78270375</v>
      </c>
      <c r="K13" s="343">
        <f>I13+J13</f>
        <v>765.0436050000001</v>
      </c>
      <c r="M13" s="64"/>
    </row>
    <row r="14" spans="2:13" ht="45">
      <c r="B14" s="370" t="s">
        <v>273</v>
      </c>
      <c r="C14" s="340" t="s">
        <v>108</v>
      </c>
      <c r="D14" s="339" t="s">
        <v>274</v>
      </c>
      <c r="E14" s="365" t="s">
        <v>19</v>
      </c>
      <c r="F14" s="369">
        <v>4.05</v>
      </c>
      <c r="G14" s="341">
        <f t="shared" si="0"/>
        <v>1.18</v>
      </c>
      <c r="H14" s="342">
        <f t="shared" si="1"/>
        <v>3.54</v>
      </c>
      <c r="I14" s="342">
        <f t="shared" si="2"/>
        <v>4.779</v>
      </c>
      <c r="J14" s="342">
        <f t="shared" si="3"/>
        <v>14.337</v>
      </c>
      <c r="K14" s="343">
        <f t="shared" si="4"/>
        <v>19.116</v>
      </c>
      <c r="M14" s="64">
        <v>4.72</v>
      </c>
    </row>
    <row r="15" spans="2:13" ht="45">
      <c r="B15" s="370" t="s">
        <v>277</v>
      </c>
      <c r="C15" s="340" t="s">
        <v>108</v>
      </c>
      <c r="D15" s="339" t="s">
        <v>278</v>
      </c>
      <c r="E15" s="365" t="s">
        <v>19</v>
      </c>
      <c r="F15" s="369">
        <v>4.05</v>
      </c>
      <c r="G15" s="341">
        <f t="shared" si="0"/>
        <v>7.15</v>
      </c>
      <c r="H15" s="342">
        <f t="shared" si="1"/>
        <v>21.450000000000003</v>
      </c>
      <c r="I15" s="342">
        <f t="shared" si="2"/>
        <v>28.9575</v>
      </c>
      <c r="J15" s="342">
        <f t="shared" si="3"/>
        <v>86.8725</v>
      </c>
      <c r="K15" s="343">
        <f t="shared" si="4"/>
        <v>115.83</v>
      </c>
      <c r="M15" s="64">
        <v>28.6</v>
      </c>
    </row>
    <row r="16" spans="2:13" ht="22.5">
      <c r="B16" s="370" t="s">
        <v>281</v>
      </c>
      <c r="C16" s="340" t="s">
        <v>108</v>
      </c>
      <c r="D16" s="339" t="s">
        <v>282</v>
      </c>
      <c r="E16" s="365" t="s">
        <v>132</v>
      </c>
      <c r="F16" s="369">
        <f>1.5+4.5+3.25+4.65+4.55</f>
        <v>18.45</v>
      </c>
      <c r="G16" s="341">
        <f t="shared" si="0"/>
        <v>46.6925</v>
      </c>
      <c r="H16" s="342">
        <f t="shared" si="1"/>
        <v>140.07750000000001</v>
      </c>
      <c r="I16" s="342">
        <f t="shared" si="2"/>
        <v>861.476625</v>
      </c>
      <c r="J16" s="342">
        <f t="shared" si="3"/>
        <v>2584.4298750000003</v>
      </c>
      <c r="K16" s="343">
        <f t="shared" si="4"/>
        <v>3445.9065</v>
      </c>
      <c r="M16" s="64">
        <v>186.77</v>
      </c>
    </row>
    <row r="17" spans="2:13" ht="22.5">
      <c r="B17" s="370" t="s">
        <v>289</v>
      </c>
      <c r="C17" s="340" t="s">
        <v>108</v>
      </c>
      <c r="D17" s="339" t="s">
        <v>290</v>
      </c>
      <c r="E17" s="365" t="s">
        <v>19</v>
      </c>
      <c r="F17" s="369">
        <v>4.05</v>
      </c>
      <c r="G17" s="341">
        <f t="shared" si="0"/>
        <v>2.005</v>
      </c>
      <c r="H17" s="342">
        <f t="shared" si="1"/>
        <v>6.015</v>
      </c>
      <c r="I17" s="342">
        <f t="shared" si="2"/>
        <v>8.120249999999999</v>
      </c>
      <c r="J17" s="342">
        <f t="shared" si="3"/>
        <v>24.360749999999996</v>
      </c>
      <c r="K17" s="343">
        <f t="shared" si="4"/>
        <v>32.480999999999995</v>
      </c>
      <c r="M17" s="64">
        <v>8.02</v>
      </c>
    </row>
    <row r="18" spans="2:13" ht="12.75">
      <c r="B18" s="346"/>
      <c r="C18" s="347"/>
      <c r="D18" s="348" t="s">
        <v>6</v>
      </c>
      <c r="E18" s="349"/>
      <c r="F18" s="372"/>
      <c r="G18" s="342"/>
      <c r="H18" s="342"/>
      <c r="I18" s="342"/>
      <c r="J18" s="342"/>
      <c r="K18" s="343">
        <f>SUM(K12:K17)</f>
        <v>5258.445905</v>
      </c>
      <c r="M18" s="64"/>
    </row>
    <row r="19" spans="2:11" ht="12.75">
      <c r="B19" s="350"/>
      <c r="C19" s="351"/>
      <c r="D19" s="351"/>
      <c r="E19" s="351"/>
      <c r="F19" s="351"/>
      <c r="G19" s="352"/>
      <c r="H19" s="352"/>
      <c r="I19" s="352"/>
      <c r="J19" s="352"/>
      <c r="K19" s="353"/>
    </row>
    <row r="20" spans="2:11" ht="12.75">
      <c r="B20" s="350"/>
      <c r="C20" s="351"/>
      <c r="D20" s="351" t="str">
        <f>'COMP.6'!D19</f>
        <v>Augusto Pestana, 22 de janeiro de 2018.</v>
      </c>
      <c r="E20" s="351"/>
      <c r="F20" s="351"/>
      <c r="G20" s="352"/>
      <c r="H20" s="352"/>
      <c r="I20" s="354" t="s">
        <v>44</v>
      </c>
      <c r="J20" s="354"/>
      <c r="K20" s="355">
        <f>SUM(I12:I17)</f>
        <v>1314.61147625</v>
      </c>
    </row>
    <row r="21" spans="2:11" ht="13.5" thickBot="1">
      <c r="B21" s="356"/>
      <c r="C21" s="357"/>
      <c r="D21" s="358"/>
      <c r="E21" s="358"/>
      <c r="F21" s="358"/>
      <c r="G21" s="359"/>
      <c r="H21" s="359"/>
      <c r="I21" s="360" t="s">
        <v>26</v>
      </c>
      <c r="J21" s="360"/>
      <c r="K21" s="361">
        <f>SUM(J12:J17)</f>
        <v>3943.83442875</v>
      </c>
    </row>
    <row r="22" spans="2:11" ht="12.75">
      <c r="B22" s="332"/>
      <c r="C22" s="332"/>
      <c r="D22" s="362"/>
      <c r="E22" s="362"/>
      <c r="F22" s="362"/>
      <c r="G22" s="363"/>
      <c r="H22" s="363"/>
      <c r="I22" s="364" t="s">
        <v>6</v>
      </c>
      <c r="J22" s="364"/>
      <c r="K22" s="364">
        <f>SUM(K20:K21)</f>
        <v>5258.445905</v>
      </c>
    </row>
    <row r="26" spans="7:8" ht="12.75" hidden="1">
      <c r="G26" t="s">
        <v>23</v>
      </c>
      <c r="H26" t="s">
        <v>24</v>
      </c>
    </row>
    <row r="27" spans="7:8" ht="12.75" hidden="1">
      <c r="G27">
        <v>27</v>
      </c>
      <c r="H27">
        <v>25</v>
      </c>
    </row>
    <row r="33" spans="2:6" ht="157.5">
      <c r="B33" s="66" t="s">
        <v>267</v>
      </c>
      <c r="C33" s="67" t="s">
        <v>268</v>
      </c>
      <c r="D33" s="68" t="s">
        <v>19</v>
      </c>
      <c r="E33" s="68" t="s">
        <v>269</v>
      </c>
      <c r="F33" s="68" t="s">
        <v>270</v>
      </c>
    </row>
    <row r="34" spans="3:7" ht="45">
      <c r="C34" s="66" t="s">
        <v>273</v>
      </c>
      <c r="D34" s="67" t="s">
        <v>274</v>
      </c>
      <c r="E34" s="68" t="s">
        <v>19</v>
      </c>
      <c r="F34" s="68" t="s">
        <v>275</v>
      </c>
      <c r="G34" s="68" t="s">
        <v>276</v>
      </c>
    </row>
    <row r="35" spans="3:7" ht="45">
      <c r="C35" s="66" t="s">
        <v>277</v>
      </c>
      <c r="D35" s="67" t="s">
        <v>278</v>
      </c>
      <c r="E35" s="68" t="s">
        <v>19</v>
      </c>
      <c r="F35" s="68" t="s">
        <v>279</v>
      </c>
      <c r="G35" s="68" t="s">
        <v>280</v>
      </c>
    </row>
    <row r="36" spans="3:7" ht="22.5">
      <c r="C36" s="66" t="s">
        <v>281</v>
      </c>
      <c r="D36" s="67" t="s">
        <v>282</v>
      </c>
      <c r="E36" s="68" t="s">
        <v>132</v>
      </c>
      <c r="F36" s="68" t="s">
        <v>283</v>
      </c>
      <c r="G36" s="68" t="s">
        <v>284</v>
      </c>
    </row>
    <row r="37" spans="3:7" ht="12.75">
      <c r="C37" s="66" t="s">
        <v>285</v>
      </c>
      <c r="D37" s="67" t="s">
        <v>286</v>
      </c>
      <c r="E37" s="68" t="s">
        <v>19</v>
      </c>
      <c r="F37" s="68" t="s">
        <v>287</v>
      </c>
      <c r="G37" s="68" t="s">
        <v>288</v>
      </c>
    </row>
    <row r="38" spans="2:6" ht="101.25">
      <c r="B38" s="66" t="s">
        <v>289</v>
      </c>
      <c r="C38" s="67" t="s">
        <v>290</v>
      </c>
      <c r="D38" s="68" t="s">
        <v>19</v>
      </c>
      <c r="E38" s="68" t="s">
        <v>291</v>
      </c>
      <c r="F38" s="68" t="s">
        <v>292</v>
      </c>
    </row>
  </sheetData>
  <sheetProtection/>
  <mergeCells count="1">
    <mergeCell ref="B9:K9"/>
  </mergeCells>
  <conditionalFormatting sqref="F12:G12">
    <cfRule type="expression" priority="17" dxfId="0" stopIfTrue="1">
      <formula>$K12=1</formula>
    </cfRule>
  </conditionalFormatting>
  <conditionalFormatting sqref="C12">
    <cfRule type="expression" priority="16" dxfId="0" stopIfTrue="1">
      <formula>$K12=1</formula>
    </cfRule>
  </conditionalFormatting>
  <conditionalFormatting sqref="C13">
    <cfRule type="expression" priority="15" dxfId="0" stopIfTrue="1">
      <formula>'COMP.36'!#REF!=1</formula>
    </cfRule>
  </conditionalFormatting>
  <conditionalFormatting sqref="G14 G17">
    <cfRule type="expression" priority="11" dxfId="0" stopIfTrue="1">
      <formula>$K14=1</formula>
    </cfRule>
  </conditionalFormatting>
  <conditionalFormatting sqref="G15">
    <cfRule type="expression" priority="9" dxfId="0" stopIfTrue="1">
      <formula>$K15=1</formula>
    </cfRule>
  </conditionalFormatting>
  <conditionalFormatting sqref="G16">
    <cfRule type="expression" priority="8" dxfId="0" stopIfTrue="1">
      <formula>$K16=1</formula>
    </cfRule>
  </conditionalFormatting>
  <conditionalFormatting sqref="E12">
    <cfRule type="expression" priority="7" dxfId="0" stopIfTrue="1">
      <formula>$K12=1</formula>
    </cfRule>
  </conditionalFormatting>
  <conditionalFormatting sqref="F13:G13">
    <cfRule type="expression" priority="6" dxfId="0" stopIfTrue="1">
      <formula>$K13=1</formula>
    </cfRule>
  </conditionalFormatting>
  <conditionalFormatting sqref="E13">
    <cfRule type="expression" priority="5" dxfId="0" stopIfTrue="1">
      <formula>$K13=1</formula>
    </cfRule>
  </conditionalFormatting>
  <conditionalFormatting sqref="C14">
    <cfRule type="expression" priority="4" dxfId="0" stopIfTrue="1">
      <formula>'COMP.36'!#REF!=1</formula>
    </cfRule>
  </conditionalFormatting>
  <conditionalFormatting sqref="C15">
    <cfRule type="expression" priority="3" dxfId="0" stopIfTrue="1">
      <formula>'COMP.36'!#REF!=1</formula>
    </cfRule>
  </conditionalFormatting>
  <conditionalFormatting sqref="C16">
    <cfRule type="expression" priority="2" dxfId="0" stopIfTrue="1">
      <formula>'COMP.36'!#REF!=1</formula>
    </cfRule>
  </conditionalFormatting>
  <conditionalFormatting sqref="C17">
    <cfRule type="expression" priority="1" dxfId="0" stopIfTrue="1">
      <formula>'COMP.36'!#REF!=1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31"/>
  <sheetViews>
    <sheetView zoomScale="85" zoomScaleNormal="85" zoomScaleSheetLayoutView="85" zoomScalePageLayoutView="0" workbookViewId="0" topLeftCell="A13">
      <selection activeCell="B8" sqref="B8:K26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295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5" ht="33.75">
      <c r="B12" s="346" t="s">
        <v>296</v>
      </c>
      <c r="C12" s="340" t="s">
        <v>108</v>
      </c>
      <c r="D12" s="339" t="s">
        <v>297</v>
      </c>
      <c r="E12" s="340" t="s">
        <v>132</v>
      </c>
      <c r="F12" s="340">
        <v>14.2</v>
      </c>
      <c r="G12" s="341">
        <f aca="true" t="shared" si="0" ref="G12:G21">O12*0.25</f>
        <v>30.9825</v>
      </c>
      <c r="H12" s="342">
        <f aca="true" t="shared" si="1" ref="H12:H21">O12-G12</f>
        <v>92.9475</v>
      </c>
      <c r="I12" s="342">
        <f aca="true" t="shared" si="2" ref="I12:I21">F12*G12</f>
        <v>439.9515</v>
      </c>
      <c r="J12" s="342">
        <f aca="true" t="shared" si="3" ref="J12:J21">F12*H12</f>
        <v>1319.8545</v>
      </c>
      <c r="K12" s="343">
        <f aca="true" t="shared" si="4" ref="K12:K21">I12+J12</f>
        <v>1759.806</v>
      </c>
      <c r="O12" s="68" t="s">
        <v>298</v>
      </c>
    </row>
    <row r="13" spans="2:15" ht="22.5">
      <c r="B13" s="346">
        <v>83708</v>
      </c>
      <c r="C13" s="340" t="s">
        <v>108</v>
      </c>
      <c r="D13" s="339" t="s">
        <v>299</v>
      </c>
      <c r="E13" s="340" t="s">
        <v>1</v>
      </c>
      <c r="F13" s="340">
        <v>1</v>
      </c>
      <c r="G13" s="341">
        <f t="shared" si="0"/>
        <v>249.6975</v>
      </c>
      <c r="H13" s="342">
        <f t="shared" si="1"/>
        <v>749.0925</v>
      </c>
      <c r="I13" s="342">
        <f t="shared" si="2"/>
        <v>249.6975</v>
      </c>
      <c r="J13" s="342">
        <f t="shared" si="3"/>
        <v>749.0925</v>
      </c>
      <c r="K13" s="343">
        <f t="shared" si="4"/>
        <v>998.79</v>
      </c>
      <c r="O13" s="63">
        <v>998.79</v>
      </c>
    </row>
    <row r="14" spans="2:15" ht="33.75">
      <c r="B14" s="346">
        <v>72131</v>
      </c>
      <c r="C14" s="340" t="s">
        <v>108</v>
      </c>
      <c r="D14" s="339" t="s">
        <v>300</v>
      </c>
      <c r="E14" s="365" t="s">
        <v>19</v>
      </c>
      <c r="F14" s="365">
        <f>(8.92*0.5)+(0.56*0.3)</f>
        <v>4.628</v>
      </c>
      <c r="G14" s="341">
        <f t="shared" si="0"/>
        <v>28.3575</v>
      </c>
      <c r="H14" s="342">
        <f t="shared" si="1"/>
        <v>85.0725</v>
      </c>
      <c r="I14" s="342">
        <f t="shared" si="2"/>
        <v>131.23851000000002</v>
      </c>
      <c r="J14" s="342">
        <f t="shared" si="3"/>
        <v>393.71553000000006</v>
      </c>
      <c r="K14" s="343">
        <f t="shared" si="4"/>
        <v>524.9540400000001</v>
      </c>
      <c r="O14" s="63" t="s">
        <v>301</v>
      </c>
    </row>
    <row r="15" spans="2:15" ht="48.75" customHeight="1">
      <c r="B15" s="346" t="s">
        <v>172</v>
      </c>
      <c r="C15" s="340" t="s">
        <v>108</v>
      </c>
      <c r="D15" s="339" t="s">
        <v>174</v>
      </c>
      <c r="E15" s="365" t="s">
        <v>25</v>
      </c>
      <c r="F15" s="365">
        <f>0.4*F12</f>
        <v>5.68</v>
      </c>
      <c r="G15" s="341">
        <f>O15*0.25</f>
        <v>4.61</v>
      </c>
      <c r="H15" s="342">
        <f>O15-G15</f>
        <v>13.830000000000002</v>
      </c>
      <c r="I15" s="342">
        <f>F15*G15</f>
        <v>26.1848</v>
      </c>
      <c r="J15" s="342">
        <f>F15*H15</f>
        <v>78.5544</v>
      </c>
      <c r="K15" s="343">
        <f>I15+J15</f>
        <v>104.7392</v>
      </c>
      <c r="O15" s="63" t="s">
        <v>304</v>
      </c>
    </row>
    <row r="16" spans="2:15" ht="48.75" customHeight="1">
      <c r="B16" s="346" t="s">
        <v>173</v>
      </c>
      <c r="C16" s="340" t="s">
        <v>108</v>
      </c>
      <c r="D16" s="339" t="s">
        <v>175</v>
      </c>
      <c r="E16" s="365" t="s">
        <v>25</v>
      </c>
      <c r="F16" s="365">
        <f>1.4859*F12</f>
        <v>21.09978</v>
      </c>
      <c r="G16" s="341">
        <f>O16*0.25</f>
        <v>3.755</v>
      </c>
      <c r="H16" s="342">
        <f>O16-G16</f>
        <v>11.265</v>
      </c>
      <c r="I16" s="342">
        <f>F16*G16</f>
        <v>79.2296739</v>
      </c>
      <c r="J16" s="342">
        <f>F16*H16</f>
        <v>237.6890217</v>
      </c>
      <c r="K16" s="343">
        <f>I16+J16</f>
        <v>316.9186956</v>
      </c>
      <c r="O16" s="63" t="s">
        <v>305</v>
      </c>
    </row>
    <row r="17" spans="2:15" ht="48.75" customHeight="1">
      <c r="B17" s="346" t="s">
        <v>302</v>
      </c>
      <c r="C17" s="340" t="s">
        <v>108</v>
      </c>
      <c r="D17" s="339" t="s">
        <v>306</v>
      </c>
      <c r="E17" s="365" t="s">
        <v>109</v>
      </c>
      <c r="F17" s="365">
        <f>0.0011*F12</f>
        <v>0.01562</v>
      </c>
      <c r="G17" s="341">
        <f>O17*0.25</f>
        <v>15</v>
      </c>
      <c r="H17" s="342">
        <f>O17-G17</f>
        <v>45</v>
      </c>
      <c r="I17" s="342">
        <f>F17*G17</f>
        <v>0.2343</v>
      </c>
      <c r="J17" s="342">
        <f>F17*H17</f>
        <v>0.7029</v>
      </c>
      <c r="K17" s="343">
        <f>I17+J17</f>
        <v>0.9372</v>
      </c>
      <c r="O17" s="63" t="s">
        <v>307</v>
      </c>
    </row>
    <row r="18" spans="2:15" ht="12.75">
      <c r="B18" s="346" t="s">
        <v>303</v>
      </c>
      <c r="C18" s="340" t="s">
        <v>108</v>
      </c>
      <c r="D18" s="339" t="s">
        <v>308</v>
      </c>
      <c r="E18" s="365" t="s">
        <v>22</v>
      </c>
      <c r="F18" s="365">
        <f>0.011*F12</f>
        <v>0.15619999999999998</v>
      </c>
      <c r="G18" s="341">
        <f t="shared" si="0"/>
        <v>0.14</v>
      </c>
      <c r="H18" s="342">
        <f t="shared" si="1"/>
        <v>0.42000000000000004</v>
      </c>
      <c r="I18" s="342">
        <f t="shared" si="2"/>
        <v>0.021868</v>
      </c>
      <c r="J18" s="342">
        <f t="shared" si="3"/>
        <v>0.065604</v>
      </c>
      <c r="K18" s="343">
        <f t="shared" si="4"/>
        <v>0.087472</v>
      </c>
      <c r="O18" s="63" t="s">
        <v>309</v>
      </c>
    </row>
    <row r="19" spans="2:15" ht="22.5">
      <c r="B19" s="346">
        <v>10543</v>
      </c>
      <c r="C19" s="340" t="s">
        <v>108</v>
      </c>
      <c r="D19" s="339" t="s">
        <v>310</v>
      </c>
      <c r="E19" s="365" t="s">
        <v>132</v>
      </c>
      <c r="F19" s="365">
        <f>1.05*F12</f>
        <v>14.91</v>
      </c>
      <c r="G19" s="341">
        <f t="shared" si="0"/>
        <v>7.295</v>
      </c>
      <c r="H19" s="342">
        <f t="shared" si="1"/>
        <v>21.884999999999998</v>
      </c>
      <c r="I19" s="342">
        <f t="shared" si="2"/>
        <v>108.76845</v>
      </c>
      <c r="J19" s="342">
        <f t="shared" si="3"/>
        <v>326.30535</v>
      </c>
      <c r="K19" s="343">
        <f t="shared" si="4"/>
        <v>435.0738</v>
      </c>
      <c r="O19" s="63" t="s">
        <v>311</v>
      </c>
    </row>
    <row r="20" spans="2:15" ht="45">
      <c r="B20" s="370" t="s">
        <v>273</v>
      </c>
      <c r="C20" s="340" t="s">
        <v>108</v>
      </c>
      <c r="D20" s="339" t="s">
        <v>274</v>
      </c>
      <c r="E20" s="365" t="s">
        <v>19</v>
      </c>
      <c r="F20" s="365">
        <f>8.72*0.4</f>
        <v>3.4880000000000004</v>
      </c>
      <c r="G20" s="341">
        <f>O20*0.25</f>
        <v>1.18</v>
      </c>
      <c r="H20" s="342">
        <f>O20-G20</f>
        <v>3.54</v>
      </c>
      <c r="I20" s="342">
        <f>F20*G20</f>
        <v>4.11584</v>
      </c>
      <c r="J20" s="342">
        <f>F20*H20</f>
        <v>12.347520000000001</v>
      </c>
      <c r="K20" s="343">
        <f>I20+J20</f>
        <v>16.46336</v>
      </c>
      <c r="O20" s="64">
        <v>4.72</v>
      </c>
    </row>
    <row r="21" spans="2:15" ht="45">
      <c r="B21" s="370" t="s">
        <v>277</v>
      </c>
      <c r="C21" s="340" t="s">
        <v>108</v>
      </c>
      <c r="D21" s="339" t="s">
        <v>278</v>
      </c>
      <c r="E21" s="365" t="s">
        <v>19</v>
      </c>
      <c r="F21" s="365">
        <f>8.72*0.4</f>
        <v>3.4880000000000004</v>
      </c>
      <c r="G21" s="341">
        <f t="shared" si="0"/>
        <v>7.15</v>
      </c>
      <c r="H21" s="342">
        <f t="shared" si="1"/>
        <v>21.450000000000003</v>
      </c>
      <c r="I21" s="342">
        <f t="shared" si="2"/>
        <v>24.939200000000003</v>
      </c>
      <c r="J21" s="342">
        <f t="shared" si="3"/>
        <v>74.81760000000001</v>
      </c>
      <c r="K21" s="343">
        <f t="shared" si="4"/>
        <v>99.75680000000001</v>
      </c>
      <c r="O21" s="64">
        <v>28.6</v>
      </c>
    </row>
    <row r="22" spans="2:11" ht="12.75">
      <c r="B22" s="346"/>
      <c r="C22" s="347"/>
      <c r="D22" s="348" t="s">
        <v>6</v>
      </c>
      <c r="E22" s="349"/>
      <c r="F22" s="349"/>
      <c r="G22" s="342"/>
      <c r="H22" s="342"/>
      <c r="I22" s="342"/>
      <c r="J22" s="342"/>
      <c r="K22" s="343">
        <f>SUM(K12:K21)</f>
        <v>4257.5265676</v>
      </c>
    </row>
    <row r="23" spans="2:11" ht="12.75">
      <c r="B23" s="350"/>
      <c r="C23" s="351"/>
      <c r="D23" s="351"/>
      <c r="E23" s="351"/>
      <c r="F23" s="351"/>
      <c r="G23" s="352"/>
      <c r="H23" s="352"/>
      <c r="I23" s="352"/>
      <c r="J23" s="352"/>
      <c r="K23" s="353"/>
    </row>
    <row r="24" spans="2:11" ht="12.75">
      <c r="B24" s="350"/>
      <c r="C24" s="351"/>
      <c r="D24" s="351" t="str">
        <f>'COMP.6'!D19</f>
        <v>Augusto Pestana, 22 de janeiro de 2018.</v>
      </c>
      <c r="E24" s="351"/>
      <c r="F24" s="351"/>
      <c r="G24" s="352"/>
      <c r="H24" s="352"/>
      <c r="I24" s="354" t="s">
        <v>44</v>
      </c>
      <c r="J24" s="354"/>
      <c r="K24" s="355">
        <f>SUM(I12:I21)</f>
        <v>1064.3816419</v>
      </c>
    </row>
    <row r="25" spans="2:11" ht="13.5" thickBot="1">
      <c r="B25" s="356"/>
      <c r="C25" s="357"/>
      <c r="D25" s="358"/>
      <c r="E25" s="358"/>
      <c r="F25" s="358"/>
      <c r="G25" s="359"/>
      <c r="H25" s="359"/>
      <c r="I25" s="360" t="s">
        <v>26</v>
      </c>
      <c r="J25" s="360"/>
      <c r="K25" s="361">
        <f>SUM(J12:J21)</f>
        <v>3193.1449257</v>
      </c>
    </row>
    <row r="26" spans="2:11" ht="12.75">
      <c r="B26" s="332"/>
      <c r="C26" s="332"/>
      <c r="D26" s="362"/>
      <c r="E26" s="362"/>
      <c r="F26" s="362"/>
      <c r="G26" s="363"/>
      <c r="H26" s="363"/>
      <c r="I26" s="364" t="s">
        <v>6</v>
      </c>
      <c r="J26" s="364"/>
      <c r="K26" s="364">
        <f>SUM(K24:K25)</f>
        <v>4257.5265676</v>
      </c>
    </row>
    <row r="30" spans="7:8" ht="12.75" hidden="1">
      <c r="G30" t="s">
        <v>23</v>
      </c>
      <c r="H30" t="s">
        <v>24</v>
      </c>
    </row>
    <row r="31" spans="7:8" ht="12.75" hidden="1">
      <c r="G31">
        <v>27</v>
      </c>
      <c r="H31">
        <v>25</v>
      </c>
    </row>
  </sheetData>
  <sheetProtection/>
  <mergeCells count="1">
    <mergeCell ref="B9:K9"/>
  </mergeCells>
  <conditionalFormatting sqref="E12:G12">
    <cfRule type="expression" priority="16" dxfId="0" stopIfTrue="1">
      <formula>$K12=1</formula>
    </cfRule>
  </conditionalFormatting>
  <conditionalFormatting sqref="C12">
    <cfRule type="expression" priority="15" dxfId="0" stopIfTrue="1">
      <formula>$K12=1</formula>
    </cfRule>
  </conditionalFormatting>
  <conditionalFormatting sqref="G14">
    <cfRule type="expression" priority="14" dxfId="0" stopIfTrue="1">
      <formula>$K14=1</formula>
    </cfRule>
  </conditionalFormatting>
  <conditionalFormatting sqref="G21">
    <cfRule type="expression" priority="13" dxfId="0" stopIfTrue="1">
      <formula>$K21=1</formula>
    </cfRule>
  </conditionalFormatting>
  <conditionalFormatting sqref="C14:C17">
    <cfRule type="expression" priority="12" dxfId="0" stopIfTrue="1">
      <formula>$K14=1</formula>
    </cfRule>
  </conditionalFormatting>
  <conditionalFormatting sqref="C18">
    <cfRule type="expression" priority="9" dxfId="0" stopIfTrue="1">
      <formula>$K18=1</formula>
    </cfRule>
  </conditionalFormatting>
  <conditionalFormatting sqref="G18">
    <cfRule type="expression" priority="10" dxfId="0" stopIfTrue="1">
      <formula>$K18=1</formula>
    </cfRule>
  </conditionalFormatting>
  <conditionalFormatting sqref="G19">
    <cfRule type="expression" priority="8" dxfId="0" stopIfTrue="1">
      <formula>$K19=1</formula>
    </cfRule>
  </conditionalFormatting>
  <conditionalFormatting sqref="C19">
    <cfRule type="expression" priority="7" dxfId="0" stopIfTrue="1">
      <formula>$K19=1</formula>
    </cfRule>
  </conditionalFormatting>
  <conditionalFormatting sqref="G15">
    <cfRule type="expression" priority="6" dxfId="0" stopIfTrue="1">
      <formula>$K15=1</formula>
    </cfRule>
  </conditionalFormatting>
  <conditionalFormatting sqref="G16">
    <cfRule type="expression" priority="5" dxfId="0" stopIfTrue="1">
      <formula>$K16=1</formula>
    </cfRule>
  </conditionalFormatting>
  <conditionalFormatting sqref="G17">
    <cfRule type="expression" priority="4" dxfId="0" stopIfTrue="1">
      <formula>$K17=1</formula>
    </cfRule>
  </conditionalFormatting>
  <conditionalFormatting sqref="G20">
    <cfRule type="expression" priority="3" dxfId="0" stopIfTrue="1">
      <formula>$K20=1</formula>
    </cfRule>
  </conditionalFormatting>
  <conditionalFormatting sqref="C20">
    <cfRule type="expression" priority="2" dxfId="0" stopIfTrue="1">
      <formula>'COMP.37'!#REF!=1</formula>
    </cfRule>
  </conditionalFormatting>
  <conditionalFormatting sqref="C21">
    <cfRule type="expression" priority="1" dxfId="0" stopIfTrue="1">
      <formula>'COMP.37'!#REF!=1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23"/>
  <sheetViews>
    <sheetView view="pageBreakPreview" zoomScale="85" zoomScaleNormal="85" zoomScaleSheetLayoutView="85" zoomScalePageLayoutView="0" workbookViewId="0" topLeftCell="A1">
      <selection activeCell="D16" sqref="D16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ht="13.5" thickBot="1"/>
    <row r="9" spans="2:11" ht="12.75">
      <c r="B9" s="392" t="s">
        <v>771</v>
      </c>
      <c r="C9" s="393"/>
      <c r="D9" s="393"/>
      <c r="E9" s="393"/>
      <c r="F9" s="393"/>
      <c r="G9" s="393"/>
      <c r="H9" s="393"/>
      <c r="I9" s="393"/>
      <c r="J9" s="393"/>
      <c r="K9" s="394"/>
    </row>
    <row r="10" spans="2:11" ht="12.75">
      <c r="B10" s="33"/>
      <c r="C10" s="34"/>
      <c r="D10" s="34"/>
      <c r="E10" s="34"/>
      <c r="F10" s="34"/>
      <c r="G10" s="34"/>
      <c r="H10" s="34"/>
      <c r="I10" s="34"/>
      <c r="J10" s="34"/>
      <c r="K10" s="35"/>
    </row>
    <row r="11" spans="2:11" ht="42.75">
      <c r="B11" s="61" t="s">
        <v>20</v>
      </c>
      <c r="C11" s="59" t="s">
        <v>18</v>
      </c>
      <c r="D11" s="59" t="s">
        <v>0</v>
      </c>
      <c r="E11" s="59" t="s">
        <v>21</v>
      </c>
      <c r="F11" s="59" t="s">
        <v>43</v>
      </c>
      <c r="G11" s="59" t="s">
        <v>53</v>
      </c>
      <c r="H11" s="59" t="s">
        <v>54</v>
      </c>
      <c r="I11" s="59" t="s">
        <v>55</v>
      </c>
      <c r="J11" s="59" t="s">
        <v>56</v>
      </c>
      <c r="K11" s="60" t="s">
        <v>6</v>
      </c>
    </row>
    <row r="12" spans="2:15" ht="28.5">
      <c r="B12" s="104" t="s">
        <v>769</v>
      </c>
      <c r="C12" s="8"/>
      <c r="D12" s="48" t="s">
        <v>770</v>
      </c>
      <c r="E12" s="8" t="s">
        <v>767</v>
      </c>
      <c r="F12" s="8">
        <v>1</v>
      </c>
      <c r="G12" s="51">
        <v>1543.0500000000002</v>
      </c>
      <c r="H12" s="52">
        <v>4629.150000000001</v>
      </c>
      <c r="I12" s="52">
        <f>F12*G12</f>
        <v>1543.0500000000002</v>
      </c>
      <c r="J12" s="52">
        <f>F12*H12</f>
        <v>4629.150000000001</v>
      </c>
      <c r="K12" s="53">
        <f>I12+J12</f>
        <v>6172.200000000001</v>
      </c>
      <c r="O12">
        <v>18.84</v>
      </c>
    </row>
    <row r="13" spans="2:15" ht="36.75" customHeight="1">
      <c r="B13" s="104" t="s">
        <v>769</v>
      </c>
      <c r="C13" s="8"/>
      <c r="D13" s="48" t="s">
        <v>768</v>
      </c>
      <c r="E13" s="8" t="s">
        <v>767</v>
      </c>
      <c r="F13" s="46">
        <v>1</v>
      </c>
      <c r="G13" s="51">
        <v>621.513</v>
      </c>
      <c r="H13" s="52">
        <v>1864.5255000000002</v>
      </c>
      <c r="I13" s="52">
        <f>F13*G13</f>
        <v>621.513</v>
      </c>
      <c r="J13" s="52">
        <f>F13*H13</f>
        <v>1864.5255000000002</v>
      </c>
      <c r="K13" s="53">
        <f>I13+J13</f>
        <v>2486.0385</v>
      </c>
      <c r="O13">
        <v>15.02</v>
      </c>
    </row>
    <row r="14" spans="2:11" ht="14.25">
      <c r="B14" s="49"/>
      <c r="C14" s="50"/>
      <c r="D14" s="47" t="s">
        <v>6</v>
      </c>
      <c r="E14" s="54"/>
      <c r="F14" s="54"/>
      <c r="G14" s="52"/>
      <c r="H14" s="52"/>
      <c r="I14" s="52"/>
      <c r="J14" s="52"/>
      <c r="K14" s="53">
        <f>SUM(K12:K13)</f>
        <v>8658.238500000001</v>
      </c>
    </row>
    <row r="15" spans="2:11" ht="14.25">
      <c r="B15" s="36"/>
      <c r="C15" s="27"/>
      <c r="D15" s="27" t="s">
        <v>816</v>
      </c>
      <c r="E15" s="27"/>
      <c r="F15" s="27"/>
      <c r="G15" s="37"/>
      <c r="H15" s="37"/>
      <c r="I15" s="37"/>
      <c r="J15" s="37"/>
      <c r="K15" s="38"/>
    </row>
    <row r="16" spans="2:11" ht="14.25">
      <c r="B16" s="36"/>
      <c r="C16" s="27"/>
      <c r="D16" s="27" t="s">
        <v>89</v>
      </c>
      <c r="E16" s="27"/>
      <c r="F16" s="27"/>
      <c r="G16" s="37"/>
      <c r="H16" s="37"/>
      <c r="I16" s="26" t="s">
        <v>44</v>
      </c>
      <c r="J16" s="26"/>
      <c r="K16" s="39">
        <f>SUM(I12:I13)</f>
        <v>2164.563</v>
      </c>
    </row>
    <row r="17" spans="2:11" ht="15" thickBot="1">
      <c r="B17" s="40"/>
      <c r="C17" s="41"/>
      <c r="D17" s="42"/>
      <c r="E17" s="42"/>
      <c r="F17" s="42"/>
      <c r="G17" s="43"/>
      <c r="H17" s="43"/>
      <c r="I17" s="44" t="s">
        <v>26</v>
      </c>
      <c r="J17" s="44"/>
      <c r="K17" s="45">
        <f>SUM(J12:J13)</f>
        <v>6493.675500000001</v>
      </c>
    </row>
    <row r="18" spans="2:11" ht="14.25">
      <c r="B18" s="10"/>
      <c r="C18" s="10"/>
      <c r="D18" s="24"/>
      <c r="E18" s="24"/>
      <c r="F18" s="24"/>
      <c r="G18" s="25"/>
      <c r="H18" s="25"/>
      <c r="I18" s="32" t="s">
        <v>6</v>
      </c>
      <c r="J18" s="32"/>
      <c r="K18" s="32">
        <f>SUM(K16:K17)</f>
        <v>8658.238500000001</v>
      </c>
    </row>
    <row r="22" spans="7:8" ht="12.75" hidden="1">
      <c r="G22" t="s">
        <v>23</v>
      </c>
      <c r="H22" t="s">
        <v>24</v>
      </c>
    </row>
    <row r="23" spans="7:8" ht="12.75" hidden="1">
      <c r="G23">
        <v>27</v>
      </c>
      <c r="H23">
        <v>25</v>
      </c>
    </row>
  </sheetData>
  <sheetProtection/>
  <mergeCells count="1">
    <mergeCell ref="B9:K9"/>
  </mergeCells>
  <conditionalFormatting sqref="E12:G12">
    <cfRule type="expression" priority="8" dxfId="0" stopIfTrue="1">
      <formula>$K12=1</formula>
    </cfRule>
  </conditionalFormatting>
  <conditionalFormatting sqref="C12">
    <cfRule type="expression" priority="7" dxfId="0" stopIfTrue="1">
      <formula>$K12=1</formula>
    </cfRule>
  </conditionalFormatting>
  <conditionalFormatting sqref="G13">
    <cfRule type="expression" priority="6" dxfId="0" stopIfTrue="1">
      <formula>$K13=1</formula>
    </cfRule>
  </conditionalFormatting>
  <conditionalFormatting sqref="E13">
    <cfRule type="expression" priority="3" dxfId="0" stopIfTrue="1">
      <formula>$K13=1</formula>
    </cfRule>
  </conditionalFormatting>
  <conditionalFormatting sqref="C13">
    <cfRule type="expression" priority="9" dxfId="0" stopIfTrue="1">
      <formula>'COMP.2'!#REF!=1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22"/>
  <sheetViews>
    <sheetView zoomScale="85" zoomScaleNormal="85" zoomScaleSheetLayoutView="85" zoomScalePageLayoutView="0" workbookViewId="0" topLeftCell="A1">
      <selection activeCell="B8" sqref="B8:K17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ht="13.5" thickBot="1"/>
    <row r="9" spans="2:11" ht="12.75">
      <c r="B9" s="392" t="s">
        <v>324</v>
      </c>
      <c r="C9" s="393"/>
      <c r="D9" s="393"/>
      <c r="E9" s="393"/>
      <c r="F9" s="393"/>
      <c r="G9" s="393"/>
      <c r="H9" s="393"/>
      <c r="I9" s="393"/>
      <c r="J9" s="393"/>
      <c r="K9" s="394"/>
    </row>
    <row r="10" spans="2:11" ht="12.75">
      <c r="B10" s="33"/>
      <c r="C10" s="34"/>
      <c r="D10" s="34"/>
      <c r="E10" s="34"/>
      <c r="F10" s="34"/>
      <c r="G10" s="34"/>
      <c r="H10" s="34"/>
      <c r="I10" s="34"/>
      <c r="J10" s="34"/>
      <c r="K10" s="35"/>
    </row>
    <row r="11" spans="2:11" ht="42.75">
      <c r="B11" s="61" t="s">
        <v>20</v>
      </c>
      <c r="C11" s="59" t="s">
        <v>18</v>
      </c>
      <c r="D11" s="59" t="s">
        <v>0</v>
      </c>
      <c r="E11" s="59" t="s">
        <v>21</v>
      </c>
      <c r="F11" s="59" t="s">
        <v>43</v>
      </c>
      <c r="G11" s="59" t="s">
        <v>53</v>
      </c>
      <c r="H11" s="59" t="s">
        <v>54</v>
      </c>
      <c r="I11" s="59" t="s">
        <v>55</v>
      </c>
      <c r="J11" s="59" t="s">
        <v>56</v>
      </c>
      <c r="K11" s="60" t="s">
        <v>6</v>
      </c>
    </row>
    <row r="12" spans="2:15" ht="28.5">
      <c r="B12" s="49" t="s">
        <v>173</v>
      </c>
      <c r="C12" s="8" t="s">
        <v>108</v>
      </c>
      <c r="D12" s="48" t="s">
        <v>175</v>
      </c>
      <c r="E12" s="8" t="s">
        <v>25</v>
      </c>
      <c r="F12" s="8">
        <v>2.55</v>
      </c>
      <c r="G12" s="51">
        <f>O12*0.25</f>
        <v>3.755</v>
      </c>
      <c r="H12" s="52">
        <f>O12-G12</f>
        <v>11.265</v>
      </c>
      <c r="I12" s="52">
        <f>F12*G12</f>
        <v>9.575249999999999</v>
      </c>
      <c r="J12" s="52">
        <f>F12*H12</f>
        <v>28.725749999999998</v>
      </c>
      <c r="K12" s="53">
        <f>I12+J12</f>
        <v>38.300999999999995</v>
      </c>
      <c r="O12" s="69">
        <v>15.02</v>
      </c>
    </row>
    <row r="13" spans="2:15" ht="14.25">
      <c r="B13" s="49"/>
      <c r="C13" s="50"/>
      <c r="D13" s="47" t="s">
        <v>6</v>
      </c>
      <c r="E13" s="54"/>
      <c r="F13" s="54"/>
      <c r="G13" s="52"/>
      <c r="H13" s="52"/>
      <c r="I13" s="52"/>
      <c r="J13" s="52"/>
      <c r="K13" s="53">
        <f>SUM(K12:K12)</f>
        <v>38.300999999999995</v>
      </c>
      <c r="O13" s="69"/>
    </row>
    <row r="14" spans="2:15" ht="14.25">
      <c r="B14" s="36"/>
      <c r="C14" s="27"/>
      <c r="D14" s="27"/>
      <c r="E14" s="27"/>
      <c r="F14" s="27"/>
      <c r="G14" s="37"/>
      <c r="H14" s="37"/>
      <c r="I14" s="37"/>
      <c r="J14" s="37"/>
      <c r="K14" s="38"/>
      <c r="O14" s="69"/>
    </row>
    <row r="15" spans="2:11" ht="14.25">
      <c r="B15" s="36"/>
      <c r="C15" s="27"/>
      <c r="D15" s="27" t="str">
        <f>'COMP.6'!D19</f>
        <v>Augusto Pestana, 22 de janeiro de 2018.</v>
      </c>
      <c r="E15" s="27"/>
      <c r="F15" s="27"/>
      <c r="G15" s="37"/>
      <c r="H15" s="37"/>
      <c r="I15" s="26" t="s">
        <v>44</v>
      </c>
      <c r="J15" s="26"/>
      <c r="K15" s="39">
        <f>SUM(I12:I12)</f>
        <v>9.575249999999999</v>
      </c>
    </row>
    <row r="16" spans="2:11" ht="15" thickBot="1">
      <c r="B16" s="40"/>
      <c r="C16" s="41"/>
      <c r="D16" s="42"/>
      <c r="E16" s="42"/>
      <c r="F16" s="42"/>
      <c r="G16" s="43"/>
      <c r="H16" s="43"/>
      <c r="I16" s="44" t="s">
        <v>26</v>
      </c>
      <c r="J16" s="44"/>
      <c r="K16" s="45">
        <f>SUM(J12:J12)</f>
        <v>28.725749999999998</v>
      </c>
    </row>
    <row r="17" spans="2:11" ht="14.25">
      <c r="B17" s="10"/>
      <c r="C17" s="10"/>
      <c r="D17" s="24"/>
      <c r="E17" s="24"/>
      <c r="F17" s="24"/>
      <c r="G17" s="25"/>
      <c r="H17" s="25"/>
      <c r="I17" s="32" t="s">
        <v>6</v>
      </c>
      <c r="J17" s="32"/>
      <c r="K17" s="32">
        <f>SUM(K15:K16)</f>
        <v>38.300999999999995</v>
      </c>
    </row>
    <row r="21" spans="7:8" ht="12.75" hidden="1">
      <c r="G21" t="s">
        <v>23</v>
      </c>
      <c r="H21" t="s">
        <v>24</v>
      </c>
    </row>
    <row r="22" spans="7:8" ht="12.75" hidden="1">
      <c r="G22">
        <v>27</v>
      </c>
      <c r="H22">
        <v>25</v>
      </c>
    </row>
  </sheetData>
  <sheetProtection/>
  <mergeCells count="1">
    <mergeCell ref="B9:K9"/>
  </mergeCells>
  <conditionalFormatting sqref="E12:G12">
    <cfRule type="expression" priority="15" dxfId="0" stopIfTrue="1">
      <formula>$K12=1</formula>
    </cfRule>
  </conditionalFormatting>
  <conditionalFormatting sqref="C12">
    <cfRule type="expression" priority="14" dxfId="0" stopIfTrue="1">
      <formula>$K12=1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22"/>
  <sheetViews>
    <sheetView zoomScale="85" zoomScaleNormal="85" zoomScaleSheetLayoutView="85" zoomScalePageLayoutView="0" workbookViewId="0" topLeftCell="A1">
      <selection activeCell="B8" sqref="B8:K17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ht="13.5" thickBot="1"/>
    <row r="9" spans="2:11" ht="12.75">
      <c r="B9" s="392" t="s">
        <v>328</v>
      </c>
      <c r="C9" s="393"/>
      <c r="D9" s="393"/>
      <c r="E9" s="393"/>
      <c r="F9" s="393"/>
      <c r="G9" s="393"/>
      <c r="H9" s="393"/>
      <c r="I9" s="393"/>
      <c r="J9" s="393"/>
      <c r="K9" s="394"/>
    </row>
    <row r="10" spans="2:11" ht="12.75">
      <c r="B10" s="33"/>
      <c r="C10" s="34"/>
      <c r="D10" s="34"/>
      <c r="E10" s="34"/>
      <c r="F10" s="34"/>
      <c r="G10" s="34"/>
      <c r="H10" s="34"/>
      <c r="I10" s="34"/>
      <c r="J10" s="34"/>
      <c r="K10" s="35"/>
    </row>
    <row r="11" spans="2:11" ht="42.75">
      <c r="B11" s="61" t="s">
        <v>20</v>
      </c>
      <c r="C11" s="59" t="s">
        <v>18</v>
      </c>
      <c r="D11" s="59" t="s">
        <v>0</v>
      </c>
      <c r="E11" s="59" t="s">
        <v>21</v>
      </c>
      <c r="F11" s="59" t="s">
        <v>43</v>
      </c>
      <c r="G11" s="59" t="s">
        <v>53</v>
      </c>
      <c r="H11" s="59" t="s">
        <v>54</v>
      </c>
      <c r="I11" s="59" t="s">
        <v>55</v>
      </c>
      <c r="J11" s="59" t="s">
        <v>56</v>
      </c>
      <c r="K11" s="60" t="s">
        <v>6</v>
      </c>
    </row>
    <row r="12" spans="2:15" ht="28.5">
      <c r="B12" s="49" t="s">
        <v>173</v>
      </c>
      <c r="C12" s="8" t="s">
        <v>108</v>
      </c>
      <c r="D12" s="48" t="s">
        <v>175</v>
      </c>
      <c r="E12" s="8" t="s">
        <v>25</v>
      </c>
      <c r="F12" s="8">
        <v>0.2</v>
      </c>
      <c r="G12" s="51">
        <f>O12*0.25</f>
        <v>3.755</v>
      </c>
      <c r="H12" s="52">
        <f>O12-G12</f>
        <v>11.265</v>
      </c>
      <c r="I12" s="52">
        <f>F12*G12</f>
        <v>0.751</v>
      </c>
      <c r="J12" s="52">
        <f>F12*H12</f>
        <v>2.253</v>
      </c>
      <c r="K12" s="53">
        <f>I12+J12</f>
        <v>3.004</v>
      </c>
      <c r="O12" s="69">
        <v>15.02</v>
      </c>
    </row>
    <row r="13" spans="2:15" ht="14.25">
      <c r="B13" s="49"/>
      <c r="C13" s="50"/>
      <c r="D13" s="47" t="s">
        <v>6</v>
      </c>
      <c r="E13" s="54"/>
      <c r="F13" s="54"/>
      <c r="G13" s="52"/>
      <c r="H13" s="52"/>
      <c r="I13" s="52"/>
      <c r="J13" s="52"/>
      <c r="K13" s="53">
        <f>SUM(K12:K12)</f>
        <v>3.004</v>
      </c>
      <c r="O13" s="69"/>
    </row>
    <row r="14" spans="2:15" ht="14.25">
      <c r="B14" s="36"/>
      <c r="C14" s="27"/>
      <c r="D14" s="27"/>
      <c r="E14" s="27"/>
      <c r="F14" s="27"/>
      <c r="G14" s="37"/>
      <c r="H14" s="37"/>
      <c r="I14" s="37"/>
      <c r="J14" s="37"/>
      <c r="K14" s="38"/>
      <c r="O14" s="69"/>
    </row>
    <row r="15" spans="2:11" ht="14.25">
      <c r="B15" s="36"/>
      <c r="C15" s="27"/>
      <c r="D15" s="27" t="str">
        <f>'COMP.6'!D19</f>
        <v>Augusto Pestana, 22 de janeiro de 2018.</v>
      </c>
      <c r="E15" s="27"/>
      <c r="F15" s="27"/>
      <c r="G15" s="37"/>
      <c r="H15" s="37"/>
      <c r="I15" s="26" t="s">
        <v>44</v>
      </c>
      <c r="J15" s="26"/>
      <c r="K15" s="39">
        <f>SUM(I12:I12)</f>
        <v>0.751</v>
      </c>
    </row>
    <row r="16" spans="2:11" ht="15" thickBot="1">
      <c r="B16" s="40"/>
      <c r="C16" s="41"/>
      <c r="D16" s="42"/>
      <c r="E16" s="42"/>
      <c r="F16" s="42"/>
      <c r="G16" s="43"/>
      <c r="H16" s="43"/>
      <c r="I16" s="44" t="s">
        <v>26</v>
      </c>
      <c r="J16" s="44"/>
      <c r="K16" s="45">
        <f>SUM(J12:J12)</f>
        <v>2.253</v>
      </c>
    </row>
    <row r="17" spans="2:11" ht="14.25">
      <c r="B17" s="10"/>
      <c r="C17" s="10"/>
      <c r="D17" s="24"/>
      <c r="E17" s="24"/>
      <c r="F17" s="24"/>
      <c r="G17" s="25"/>
      <c r="H17" s="25"/>
      <c r="I17" s="32" t="s">
        <v>6</v>
      </c>
      <c r="J17" s="32"/>
      <c r="K17" s="32">
        <f>SUM(K15:K16)</f>
        <v>3.004</v>
      </c>
    </row>
    <row r="21" spans="7:8" ht="12.75" hidden="1">
      <c r="G21" t="s">
        <v>23</v>
      </c>
      <c r="H21" t="s">
        <v>24</v>
      </c>
    </row>
    <row r="22" spans="7:8" ht="12.75" hidden="1">
      <c r="G22">
        <v>27</v>
      </c>
      <c r="H22">
        <v>25</v>
      </c>
    </row>
  </sheetData>
  <sheetProtection/>
  <mergeCells count="1">
    <mergeCell ref="B9:K9"/>
  </mergeCells>
  <conditionalFormatting sqref="E12:G12">
    <cfRule type="expression" priority="2" dxfId="0" stopIfTrue="1">
      <formula>$K12=1</formula>
    </cfRule>
  </conditionalFormatting>
  <conditionalFormatting sqref="C12">
    <cfRule type="expression" priority="1" dxfId="0" stopIfTrue="1">
      <formula>$K12=1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38"/>
  <sheetViews>
    <sheetView zoomScale="85" zoomScaleNormal="85" zoomScaleSheetLayoutView="85" zoomScalePageLayoutView="0" workbookViewId="0" topLeftCell="A36">
      <selection activeCell="B9" sqref="B9:K18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ht="13.5" thickBot="1"/>
    <row r="9" spans="2:11" ht="12.75">
      <c r="B9" s="401" t="s">
        <v>387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5" ht="45">
      <c r="B12" s="346" t="s">
        <v>340</v>
      </c>
      <c r="C12" s="340" t="s">
        <v>108</v>
      </c>
      <c r="D12" s="339" t="s">
        <v>341</v>
      </c>
      <c r="E12" s="340" t="s">
        <v>132</v>
      </c>
      <c r="F12" s="340">
        <v>1</v>
      </c>
      <c r="G12" s="341">
        <f>O12*0.25</f>
        <v>14.16</v>
      </c>
      <c r="H12" s="342">
        <f>O12-G12</f>
        <v>42.480000000000004</v>
      </c>
      <c r="I12" s="342">
        <f>F12*G12</f>
        <v>14.16</v>
      </c>
      <c r="J12" s="342">
        <f>F12*H12</f>
        <v>42.480000000000004</v>
      </c>
      <c r="K12" s="343">
        <f>I12+J12</f>
        <v>56.64</v>
      </c>
      <c r="O12" s="70">
        <v>56.64</v>
      </c>
    </row>
    <row r="13" spans="2:15" ht="22.5">
      <c r="B13" s="346" t="s">
        <v>384</v>
      </c>
      <c r="C13" s="340" t="s">
        <v>257</v>
      </c>
      <c r="D13" s="339" t="s">
        <v>385</v>
      </c>
      <c r="E13" s="340" t="s">
        <v>1</v>
      </c>
      <c r="F13" s="340">
        <v>1</v>
      </c>
      <c r="G13" s="341">
        <f>O13*0.25</f>
        <v>5.945</v>
      </c>
      <c r="H13" s="342">
        <f>O13-G13</f>
        <v>17.835</v>
      </c>
      <c r="I13" s="342">
        <f>F13*G13</f>
        <v>5.945</v>
      </c>
      <c r="J13" s="342">
        <f>F13*H13</f>
        <v>17.835</v>
      </c>
      <c r="K13" s="343">
        <f>I13+J13</f>
        <v>23.78</v>
      </c>
      <c r="O13" s="70">
        <v>23.78</v>
      </c>
    </row>
    <row r="14" spans="2:11" ht="12.75">
      <c r="B14" s="346"/>
      <c r="C14" s="347"/>
      <c r="D14" s="348" t="s">
        <v>6</v>
      </c>
      <c r="E14" s="349"/>
      <c r="F14" s="349"/>
      <c r="G14" s="342"/>
      <c r="H14" s="342"/>
      <c r="I14" s="342"/>
      <c r="J14" s="342"/>
      <c r="K14" s="343">
        <f>SUM(K12:K13)</f>
        <v>80.42</v>
      </c>
    </row>
    <row r="15" spans="2:11" ht="12.75">
      <c r="B15" s="350"/>
      <c r="C15" s="351"/>
      <c r="D15" s="351"/>
      <c r="E15" s="351"/>
      <c r="F15" s="351"/>
      <c r="G15" s="352"/>
      <c r="H15" s="352"/>
      <c r="I15" s="352"/>
      <c r="J15" s="352"/>
      <c r="K15" s="353"/>
    </row>
    <row r="16" spans="2:11" ht="12.75">
      <c r="B16" s="350"/>
      <c r="C16" s="351"/>
      <c r="D16" s="351" t="str">
        <f>'COMP.6'!D19</f>
        <v>Augusto Pestana, 22 de janeiro de 2018.</v>
      </c>
      <c r="E16" s="351"/>
      <c r="F16" s="351"/>
      <c r="G16" s="352"/>
      <c r="H16" s="352"/>
      <c r="I16" s="354" t="s">
        <v>44</v>
      </c>
      <c r="J16" s="354"/>
      <c r="K16" s="355">
        <f>SUM(I12:I13)</f>
        <v>20.105</v>
      </c>
    </row>
    <row r="17" spans="2:11" ht="13.5" thickBot="1">
      <c r="B17" s="356"/>
      <c r="C17" s="357"/>
      <c r="D17" s="358"/>
      <c r="E17" s="358"/>
      <c r="F17" s="358"/>
      <c r="G17" s="359"/>
      <c r="H17" s="359"/>
      <c r="I17" s="360" t="s">
        <v>26</v>
      </c>
      <c r="J17" s="360"/>
      <c r="K17" s="361">
        <f>SUM(J12:J13)</f>
        <v>60.315000000000005</v>
      </c>
    </row>
    <row r="18" spans="2:11" ht="12.75">
      <c r="B18" s="332"/>
      <c r="C18" s="332"/>
      <c r="D18" s="362"/>
      <c r="E18" s="362"/>
      <c r="F18" s="362"/>
      <c r="G18" s="363"/>
      <c r="H18" s="363"/>
      <c r="I18" s="364" t="s">
        <v>6</v>
      </c>
      <c r="J18" s="364"/>
      <c r="K18" s="364">
        <f>SUM(K16:K17)</f>
        <v>80.42</v>
      </c>
    </row>
    <row r="22" spans="7:8" ht="12.75" hidden="1">
      <c r="G22" t="s">
        <v>23</v>
      </c>
      <c r="H22" t="s">
        <v>24</v>
      </c>
    </row>
    <row r="23" spans="7:8" ht="12.75" hidden="1">
      <c r="G23">
        <v>27</v>
      </c>
      <c r="H23">
        <v>25</v>
      </c>
    </row>
    <row r="35" spans="2:17" s="3" customFormat="1" ht="99.75">
      <c r="B35" s="62" t="s">
        <v>336</v>
      </c>
      <c r="C35" s="55" t="s">
        <v>340</v>
      </c>
      <c r="D35" s="22" t="s">
        <v>341</v>
      </c>
      <c r="E35" s="11" t="s">
        <v>132</v>
      </c>
      <c r="F35" s="57">
        <v>109.65</v>
      </c>
      <c r="G35" s="57">
        <f>Q35*(1+$G$122/100)*0.25</f>
        <v>14.16</v>
      </c>
      <c r="H35" s="57">
        <f>Q35*(1+$G$122/100)*0.75</f>
        <v>42.480000000000004</v>
      </c>
      <c r="I35" s="57">
        <f>TRUNC(F35*G35,2)</f>
        <v>1552.64</v>
      </c>
      <c r="J35" s="57">
        <f>TRUNC(F35*H35,2)</f>
        <v>4657.93</v>
      </c>
      <c r="K35" s="58">
        <f>SUM(I35:J35)</f>
        <v>6210.570000000001</v>
      </c>
      <c r="O35" s="56">
        <f>K35/F35</f>
        <v>56.63994528043776</v>
      </c>
      <c r="P35" s="56">
        <f>Q35*1.27</f>
        <v>71.9328</v>
      </c>
      <c r="Q35" s="56">
        <v>56.64</v>
      </c>
    </row>
    <row r="36" spans="2:17" s="3" customFormat="1" ht="85.5">
      <c r="B36" s="62" t="s">
        <v>337</v>
      </c>
      <c r="C36" s="55" t="s">
        <v>343</v>
      </c>
      <c r="D36" s="22" t="s">
        <v>344</v>
      </c>
      <c r="E36" s="11" t="s">
        <v>1</v>
      </c>
      <c r="F36" s="57">
        <v>2</v>
      </c>
      <c r="G36" s="57">
        <f>Q36*(1+$G$122/100)*0.25</f>
        <v>27.3475</v>
      </c>
      <c r="H36" s="57">
        <f>Q36*(1+$G$122/100)*0.75</f>
        <v>82.0425</v>
      </c>
      <c r="I36" s="57">
        <f>TRUNC(F36*G36,2)</f>
        <v>54.69</v>
      </c>
      <c r="J36" s="57">
        <f>TRUNC(F36*H36,2)</f>
        <v>164.08</v>
      </c>
      <c r="K36" s="58">
        <f>SUM(I36:J36)</f>
        <v>218.77</v>
      </c>
      <c r="O36" s="56">
        <f>K36/F36</f>
        <v>109.385</v>
      </c>
      <c r="P36" s="56">
        <f>Q36*1.27</f>
        <v>138.9253</v>
      </c>
      <c r="Q36" s="56">
        <v>109.39</v>
      </c>
    </row>
    <row r="37" spans="2:17" s="3" customFormat="1" ht="85.5">
      <c r="B37" s="62" t="s">
        <v>338</v>
      </c>
      <c r="C37" s="55" t="s">
        <v>345</v>
      </c>
      <c r="D37" s="22" t="s">
        <v>346</v>
      </c>
      <c r="E37" s="11" t="s">
        <v>1</v>
      </c>
      <c r="F37" s="57">
        <v>6</v>
      </c>
      <c r="G37" s="57">
        <f>Q37*(1+$G$122/100)*0.25</f>
        <v>20.0675</v>
      </c>
      <c r="H37" s="57">
        <f>Q37*(1+$G$122/100)*0.75</f>
        <v>60.2025</v>
      </c>
      <c r="I37" s="57">
        <f>TRUNC(F37*G37,2)</f>
        <v>120.4</v>
      </c>
      <c r="J37" s="57">
        <f>TRUNC(F37*H37,2)</f>
        <v>361.21</v>
      </c>
      <c r="K37" s="58">
        <f>SUM(I37:J37)</f>
        <v>481.61</v>
      </c>
      <c r="O37" s="56">
        <f>K37/F37</f>
        <v>80.26833333333333</v>
      </c>
      <c r="P37" s="56">
        <f>Q37*1.27</f>
        <v>101.9429</v>
      </c>
      <c r="Q37" s="56">
        <v>80.27</v>
      </c>
    </row>
    <row r="38" spans="2:17" s="3" customFormat="1" ht="85.5">
      <c r="B38" s="62" t="s">
        <v>342</v>
      </c>
      <c r="C38" s="55" t="s">
        <v>347</v>
      </c>
      <c r="D38" s="22" t="s">
        <v>348</v>
      </c>
      <c r="E38" s="11" t="s">
        <v>1</v>
      </c>
      <c r="F38" s="57">
        <v>15</v>
      </c>
      <c r="G38" s="57">
        <f>Q38*(1+$G$122/100)*0.25</f>
        <v>26.25</v>
      </c>
      <c r="H38" s="57">
        <f>Q38*(1+$G$122/100)*0.75</f>
        <v>78.75</v>
      </c>
      <c r="I38" s="57">
        <f>TRUNC(F38*G38,2)</f>
        <v>393.75</v>
      </c>
      <c r="J38" s="57">
        <f>TRUNC(F38*H38,2)</f>
        <v>1181.25</v>
      </c>
      <c r="K38" s="58">
        <f>SUM(I38:J38)</f>
        <v>1575</v>
      </c>
      <c r="O38" s="56">
        <f>K38/F38</f>
        <v>105</v>
      </c>
      <c r="P38" s="56">
        <f>Q38*1.27</f>
        <v>133.35</v>
      </c>
      <c r="Q38" s="56">
        <v>105</v>
      </c>
    </row>
  </sheetData>
  <sheetProtection/>
  <mergeCells count="1">
    <mergeCell ref="B9:K9"/>
  </mergeCells>
  <conditionalFormatting sqref="E12:G12">
    <cfRule type="expression" priority="17" dxfId="0" stopIfTrue="1">
      <formula>$K12=1</formula>
    </cfRule>
  </conditionalFormatting>
  <conditionalFormatting sqref="C12">
    <cfRule type="expression" priority="16" dxfId="0" stopIfTrue="1">
      <formula>$K12=1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39"/>
  <sheetViews>
    <sheetView zoomScale="85" zoomScaleNormal="85" zoomScaleSheetLayoutView="85" zoomScalePageLayoutView="0" workbookViewId="0" topLeftCell="A2">
      <selection activeCell="B8" sqref="B8:K20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27" customHeight="1">
      <c r="B9" s="401" t="s">
        <v>356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5" ht="45">
      <c r="B12" s="346" t="s">
        <v>349</v>
      </c>
      <c r="C12" s="340" t="s">
        <v>108</v>
      </c>
      <c r="D12" s="339" t="s">
        <v>350</v>
      </c>
      <c r="E12" s="365" t="s">
        <v>1</v>
      </c>
      <c r="F12" s="365">
        <v>1</v>
      </c>
      <c r="G12" s="341">
        <f>O12*0.25</f>
        <v>45.175</v>
      </c>
      <c r="H12" s="342">
        <f>O12-G12</f>
        <v>135.52499999999998</v>
      </c>
      <c r="I12" s="342">
        <f>F12*G12</f>
        <v>45.175</v>
      </c>
      <c r="J12" s="342">
        <f>F12*H12</f>
        <v>135.52499999999998</v>
      </c>
      <c r="K12" s="343">
        <f>I12+J12</f>
        <v>180.7</v>
      </c>
      <c r="O12" s="70">
        <v>180.7</v>
      </c>
    </row>
    <row r="13" spans="2:15" ht="33.75">
      <c r="B13" s="346" t="s">
        <v>353</v>
      </c>
      <c r="C13" s="340" t="s">
        <v>108</v>
      </c>
      <c r="D13" s="339" t="s">
        <v>354</v>
      </c>
      <c r="E13" s="365" t="s">
        <v>1</v>
      </c>
      <c r="F13" s="365">
        <v>1</v>
      </c>
      <c r="G13" s="341">
        <f>O13*0.25</f>
        <v>12.6075</v>
      </c>
      <c r="H13" s="342">
        <f>O13-G13</f>
        <v>37.8225</v>
      </c>
      <c r="I13" s="342">
        <f>F13*G13</f>
        <v>12.6075</v>
      </c>
      <c r="J13" s="342">
        <f>F13*H13</f>
        <v>37.8225</v>
      </c>
      <c r="K13" s="343">
        <f>I13+J13</f>
        <v>50.43</v>
      </c>
      <c r="O13" s="70">
        <v>50.43</v>
      </c>
    </row>
    <row r="14" spans="2:15" ht="33.75">
      <c r="B14" s="346" t="s">
        <v>351</v>
      </c>
      <c r="C14" s="340" t="s">
        <v>257</v>
      </c>
      <c r="D14" s="339" t="s">
        <v>352</v>
      </c>
      <c r="E14" s="365" t="s">
        <v>1</v>
      </c>
      <c r="F14" s="365">
        <v>1</v>
      </c>
      <c r="G14" s="341">
        <f>O14*0.25</f>
        <v>12.8675</v>
      </c>
      <c r="H14" s="342">
        <f>O14-G14</f>
        <v>38.6025</v>
      </c>
      <c r="I14" s="342">
        <f>F14*G14</f>
        <v>12.8675</v>
      </c>
      <c r="J14" s="342">
        <f>F14*H14</f>
        <v>38.6025</v>
      </c>
      <c r="K14" s="343">
        <f>I14+J14</f>
        <v>51.47</v>
      </c>
      <c r="O14" s="70">
        <v>51.47</v>
      </c>
    </row>
    <row r="15" spans="2:11" ht="12.75">
      <c r="B15" s="346"/>
      <c r="C15" s="347"/>
      <c r="D15" s="348" t="s">
        <v>6</v>
      </c>
      <c r="E15" s="349"/>
      <c r="F15" s="349"/>
      <c r="G15" s="342"/>
      <c r="H15" s="342"/>
      <c r="I15" s="342"/>
      <c r="J15" s="342"/>
      <c r="K15" s="343">
        <f>SUM(K12:K14)</f>
        <v>282.6</v>
      </c>
    </row>
    <row r="16" spans="2:11" ht="12.75">
      <c r="B16" s="350"/>
      <c r="C16" s="351"/>
      <c r="D16" s="351"/>
      <c r="E16" s="351"/>
      <c r="F16" s="351"/>
      <c r="G16" s="352"/>
      <c r="H16" s="352"/>
      <c r="I16" s="352"/>
      <c r="J16" s="352"/>
      <c r="K16" s="353"/>
    </row>
    <row r="17" spans="2:11" ht="12.75">
      <c r="B17" s="350"/>
      <c r="C17" s="351"/>
      <c r="D17" s="351" t="str">
        <f>'COMP.6'!D19</f>
        <v>Augusto Pestana, 22 de janeiro de 2018.</v>
      </c>
      <c r="E17" s="351"/>
      <c r="F17" s="351"/>
      <c r="G17" s="352"/>
      <c r="H17" s="352"/>
      <c r="I17" s="354" t="s">
        <v>44</v>
      </c>
      <c r="J17" s="354"/>
      <c r="K17" s="355">
        <f>SUM(I12:I14)</f>
        <v>70.65</v>
      </c>
    </row>
    <row r="18" spans="2:11" ht="13.5" thickBot="1">
      <c r="B18" s="356"/>
      <c r="C18" s="357"/>
      <c r="D18" s="358"/>
      <c r="E18" s="358"/>
      <c r="F18" s="358"/>
      <c r="G18" s="359"/>
      <c r="H18" s="359"/>
      <c r="I18" s="360" t="s">
        <v>26</v>
      </c>
      <c r="J18" s="360"/>
      <c r="K18" s="361">
        <f>SUM(J12:J14)</f>
        <v>211.94999999999996</v>
      </c>
    </row>
    <row r="19" spans="2:11" ht="12.75">
      <c r="B19" s="332"/>
      <c r="C19" s="332"/>
      <c r="D19" s="362"/>
      <c r="E19" s="362"/>
      <c r="F19" s="362"/>
      <c r="G19" s="363"/>
      <c r="H19" s="363"/>
      <c r="I19" s="364" t="s">
        <v>6</v>
      </c>
      <c r="J19" s="364"/>
      <c r="K19" s="364">
        <f>SUM(K17:K18)</f>
        <v>282.59999999999997</v>
      </c>
    </row>
    <row r="20" spans="2:11" ht="12.75">
      <c r="B20" s="332"/>
      <c r="C20" s="332"/>
      <c r="D20" s="332"/>
      <c r="E20" s="332"/>
      <c r="F20" s="332"/>
      <c r="G20" s="332"/>
      <c r="H20" s="332"/>
      <c r="I20" s="332"/>
      <c r="J20" s="332"/>
      <c r="K20" s="332"/>
    </row>
    <row r="23" spans="7:8" ht="12.75" hidden="1">
      <c r="G23" t="s">
        <v>23</v>
      </c>
      <c r="H23" t="s">
        <v>24</v>
      </c>
    </row>
    <row r="24" spans="7:8" ht="12.75" hidden="1">
      <c r="G24">
        <v>27</v>
      </c>
      <c r="H24">
        <v>25</v>
      </c>
    </row>
    <row r="36" spans="2:17" s="3" customFormat="1" ht="99.75">
      <c r="B36" s="62" t="s">
        <v>336</v>
      </c>
      <c r="C36" s="55" t="s">
        <v>340</v>
      </c>
      <c r="D36" s="22" t="s">
        <v>341</v>
      </c>
      <c r="E36" s="11" t="s">
        <v>132</v>
      </c>
      <c r="F36" s="57">
        <v>109.65</v>
      </c>
      <c r="G36" s="57">
        <f>Q36*(1+$G$123/100)*0.25</f>
        <v>14.16</v>
      </c>
      <c r="H36" s="57">
        <f>Q36*(1+$G$123/100)*0.75</f>
        <v>42.480000000000004</v>
      </c>
      <c r="I36" s="57">
        <f>TRUNC(F36*G36,2)</f>
        <v>1552.64</v>
      </c>
      <c r="J36" s="57">
        <f>TRUNC(F36*H36,2)</f>
        <v>4657.93</v>
      </c>
      <c r="K36" s="58">
        <f>SUM(I36:J36)</f>
        <v>6210.570000000001</v>
      </c>
      <c r="O36" s="56">
        <f>K36/F36</f>
        <v>56.63994528043776</v>
      </c>
      <c r="P36" s="56">
        <f>Q36*1.27</f>
        <v>71.9328</v>
      </c>
      <c r="Q36" s="56">
        <v>56.64</v>
      </c>
    </row>
    <row r="37" spans="2:17" s="3" customFormat="1" ht="85.5">
      <c r="B37" s="62" t="s">
        <v>337</v>
      </c>
      <c r="C37" s="55" t="s">
        <v>343</v>
      </c>
      <c r="D37" s="22" t="s">
        <v>344</v>
      </c>
      <c r="E37" s="11" t="s">
        <v>1</v>
      </c>
      <c r="F37" s="57">
        <v>2</v>
      </c>
      <c r="G37" s="57">
        <f>Q37*(1+$G$123/100)*0.25</f>
        <v>27.3475</v>
      </c>
      <c r="H37" s="57">
        <f>Q37*(1+$G$123/100)*0.75</f>
        <v>82.0425</v>
      </c>
      <c r="I37" s="57">
        <f>TRUNC(F37*G37,2)</f>
        <v>54.69</v>
      </c>
      <c r="J37" s="57">
        <f>TRUNC(F37*H37,2)</f>
        <v>164.08</v>
      </c>
      <c r="K37" s="58">
        <f>SUM(I37:J37)</f>
        <v>218.77</v>
      </c>
      <c r="O37" s="56">
        <f>K37/F37</f>
        <v>109.385</v>
      </c>
      <c r="P37" s="56">
        <f>Q37*1.27</f>
        <v>138.9253</v>
      </c>
      <c r="Q37" s="56">
        <v>109.39</v>
      </c>
    </row>
    <row r="38" spans="2:17" s="3" customFormat="1" ht="85.5">
      <c r="B38" s="62" t="s">
        <v>338</v>
      </c>
      <c r="C38" s="55" t="s">
        <v>345</v>
      </c>
      <c r="D38" s="22" t="s">
        <v>346</v>
      </c>
      <c r="E38" s="11" t="s">
        <v>1</v>
      </c>
      <c r="F38" s="57">
        <v>6</v>
      </c>
      <c r="G38" s="57">
        <f>Q38*(1+$G$123/100)*0.25</f>
        <v>20.0675</v>
      </c>
      <c r="H38" s="57">
        <f>Q38*(1+$G$123/100)*0.75</f>
        <v>60.2025</v>
      </c>
      <c r="I38" s="57">
        <f>TRUNC(F38*G38,2)</f>
        <v>120.4</v>
      </c>
      <c r="J38" s="57">
        <f>TRUNC(F38*H38,2)</f>
        <v>361.21</v>
      </c>
      <c r="K38" s="58">
        <f>SUM(I38:J38)</f>
        <v>481.61</v>
      </c>
      <c r="O38" s="56">
        <f>K38/F38</f>
        <v>80.26833333333333</v>
      </c>
      <c r="P38" s="56">
        <f>Q38*1.27</f>
        <v>101.9429</v>
      </c>
      <c r="Q38" s="56">
        <v>80.27</v>
      </c>
    </row>
    <row r="39" spans="2:17" s="3" customFormat="1" ht="85.5">
      <c r="B39" s="62" t="s">
        <v>342</v>
      </c>
      <c r="C39" s="55" t="s">
        <v>347</v>
      </c>
      <c r="D39" s="22" t="s">
        <v>348</v>
      </c>
      <c r="E39" s="11" t="s">
        <v>1</v>
      </c>
      <c r="F39" s="57">
        <v>15</v>
      </c>
      <c r="G39" s="57">
        <f>Q39*(1+$G$123/100)*0.25</f>
        <v>26.25</v>
      </c>
      <c r="H39" s="57">
        <f>Q39*(1+$G$123/100)*0.75</f>
        <v>78.75</v>
      </c>
      <c r="I39" s="57">
        <f>TRUNC(F39*G39,2)</f>
        <v>393.75</v>
      </c>
      <c r="J39" s="57">
        <f>TRUNC(F39*H39,2)</f>
        <v>1181.25</v>
      </c>
      <c r="K39" s="58">
        <f>SUM(I39:J39)</f>
        <v>1575</v>
      </c>
      <c r="O39" s="56">
        <f>K39/F39</f>
        <v>105</v>
      </c>
      <c r="P39" s="56">
        <f>Q39*1.27</f>
        <v>133.35</v>
      </c>
      <c r="Q39" s="56">
        <v>105</v>
      </c>
    </row>
  </sheetData>
  <sheetProtection/>
  <mergeCells count="1">
    <mergeCell ref="B9:K9"/>
  </mergeCells>
  <conditionalFormatting sqref="C12:C14 G12:G13">
    <cfRule type="expression" priority="7" dxfId="0" stopIfTrue="1">
      <formula>$K12=1</formula>
    </cfRule>
  </conditionalFormatting>
  <conditionalFormatting sqref="G14">
    <cfRule type="expression" priority="3" dxfId="0" stopIfTrue="1">
      <formula>$K14=1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37"/>
  <sheetViews>
    <sheetView zoomScale="85" zoomScaleNormal="85" zoomScaleSheetLayoutView="85" zoomScalePageLayoutView="0" workbookViewId="0" topLeftCell="A59">
      <selection activeCell="B8" sqref="B8:K17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ht="13.5" thickBot="1"/>
    <row r="9" spans="2:11" ht="12.75">
      <c r="B9" s="407" t="s">
        <v>357</v>
      </c>
      <c r="C9" s="393"/>
      <c r="D9" s="393"/>
      <c r="E9" s="393"/>
      <c r="F9" s="393"/>
      <c r="G9" s="393"/>
      <c r="H9" s="393"/>
      <c r="I9" s="393"/>
      <c r="J9" s="393"/>
      <c r="K9" s="394"/>
    </row>
    <row r="10" spans="2:11" ht="12.75">
      <c r="B10" s="33"/>
      <c r="C10" s="34"/>
      <c r="D10" s="34"/>
      <c r="E10" s="34"/>
      <c r="F10" s="34"/>
      <c r="G10" s="34"/>
      <c r="H10" s="34"/>
      <c r="I10" s="34"/>
      <c r="J10" s="34"/>
      <c r="K10" s="35"/>
    </row>
    <row r="11" spans="2:11" ht="42.75">
      <c r="B11" s="61" t="s">
        <v>20</v>
      </c>
      <c r="C11" s="59" t="s">
        <v>18</v>
      </c>
      <c r="D11" s="59" t="s">
        <v>0</v>
      </c>
      <c r="E11" s="59" t="s">
        <v>21</v>
      </c>
      <c r="F11" s="59" t="s">
        <v>43</v>
      </c>
      <c r="G11" s="59" t="s">
        <v>53</v>
      </c>
      <c r="H11" s="59" t="s">
        <v>54</v>
      </c>
      <c r="I11" s="59" t="s">
        <v>55</v>
      </c>
      <c r="J11" s="59" t="s">
        <v>56</v>
      </c>
      <c r="K11" s="60" t="s">
        <v>6</v>
      </c>
    </row>
    <row r="12" spans="2:15" ht="57">
      <c r="B12" s="49" t="s">
        <v>358</v>
      </c>
      <c r="C12" s="8" t="s">
        <v>108</v>
      </c>
      <c r="D12" s="48" t="s">
        <v>359</v>
      </c>
      <c r="E12" s="8" t="s">
        <v>360</v>
      </c>
      <c r="F12" s="8">
        <v>1.5</v>
      </c>
      <c r="G12" s="51">
        <f>O12*0.25</f>
        <v>1.5525</v>
      </c>
      <c r="H12" s="52">
        <f>O12-G12</f>
        <v>4.6575</v>
      </c>
      <c r="I12" s="52">
        <f>F12*G12</f>
        <v>2.32875</v>
      </c>
      <c r="J12" s="52">
        <f>F12*H12</f>
        <v>6.98625</v>
      </c>
      <c r="K12" s="53">
        <f>I12+J12</f>
        <v>9.315</v>
      </c>
      <c r="O12" s="70">
        <v>6.21</v>
      </c>
    </row>
    <row r="13" spans="2:11" ht="14.25">
      <c r="B13" s="49"/>
      <c r="C13" s="50"/>
      <c r="D13" s="47" t="s">
        <v>6</v>
      </c>
      <c r="E13" s="54"/>
      <c r="F13" s="54"/>
      <c r="G13" s="52"/>
      <c r="H13" s="52"/>
      <c r="I13" s="52"/>
      <c r="J13" s="52"/>
      <c r="K13" s="53">
        <f>SUM(K12:K12)</f>
        <v>9.315</v>
      </c>
    </row>
    <row r="14" spans="2:11" ht="14.25">
      <c r="B14" s="36"/>
      <c r="C14" s="27"/>
      <c r="D14" s="27"/>
      <c r="E14" s="27"/>
      <c r="F14" s="27"/>
      <c r="G14" s="37"/>
      <c r="H14" s="37"/>
      <c r="I14" s="37"/>
      <c r="J14" s="37"/>
      <c r="K14" s="38"/>
    </row>
    <row r="15" spans="2:11" ht="14.25">
      <c r="B15" s="36"/>
      <c r="C15" s="27"/>
      <c r="D15" s="27" t="str">
        <f>'COMP.6'!D19</f>
        <v>Augusto Pestana, 22 de janeiro de 2018.</v>
      </c>
      <c r="E15" s="27"/>
      <c r="F15" s="27"/>
      <c r="G15" s="37"/>
      <c r="H15" s="37"/>
      <c r="I15" s="26" t="s">
        <v>44</v>
      </c>
      <c r="J15" s="26"/>
      <c r="K15" s="39">
        <f>SUM(I12:I12)</f>
        <v>2.32875</v>
      </c>
    </row>
    <row r="16" spans="2:11" ht="15" thickBot="1">
      <c r="B16" s="40"/>
      <c r="C16" s="41"/>
      <c r="D16" s="42"/>
      <c r="E16" s="42"/>
      <c r="F16" s="42"/>
      <c r="G16" s="43"/>
      <c r="H16" s="43"/>
      <c r="I16" s="44" t="s">
        <v>26</v>
      </c>
      <c r="J16" s="44"/>
      <c r="K16" s="45">
        <f>SUM(J12:J12)</f>
        <v>6.98625</v>
      </c>
    </row>
    <row r="17" spans="2:11" ht="14.25">
      <c r="B17" s="10"/>
      <c r="C17" s="10"/>
      <c r="D17" s="24"/>
      <c r="E17" s="24"/>
      <c r="F17" s="24"/>
      <c r="G17" s="25"/>
      <c r="H17" s="25"/>
      <c r="I17" s="32" t="s">
        <v>6</v>
      </c>
      <c r="J17" s="32"/>
      <c r="K17" s="32">
        <f>SUM(K15:K16)</f>
        <v>9.315</v>
      </c>
    </row>
    <row r="21" spans="7:8" ht="12.75" hidden="1">
      <c r="G21" t="s">
        <v>23</v>
      </c>
      <c r="H21" t="s">
        <v>24</v>
      </c>
    </row>
    <row r="22" spans="7:8" ht="12.75" hidden="1">
      <c r="G22">
        <v>27</v>
      </c>
      <c r="H22">
        <v>25</v>
      </c>
    </row>
    <row r="34" spans="2:17" s="3" customFormat="1" ht="99.75">
      <c r="B34" s="62" t="s">
        <v>336</v>
      </c>
      <c r="C34" s="55" t="s">
        <v>340</v>
      </c>
      <c r="D34" s="22" t="s">
        <v>341</v>
      </c>
      <c r="E34" s="11" t="s">
        <v>132</v>
      </c>
      <c r="F34" s="57">
        <v>109.65</v>
      </c>
      <c r="G34" s="57">
        <f>Q34*(1+$G$121/100)*0.25</f>
        <v>14.16</v>
      </c>
      <c r="H34" s="57">
        <f>Q34*(1+$G$121/100)*0.75</f>
        <v>42.480000000000004</v>
      </c>
      <c r="I34" s="57">
        <f>TRUNC(F34*G34,2)</f>
        <v>1552.64</v>
      </c>
      <c r="J34" s="57">
        <f>TRUNC(F34*H34,2)</f>
        <v>4657.93</v>
      </c>
      <c r="K34" s="58">
        <f>SUM(I34:J34)</f>
        <v>6210.570000000001</v>
      </c>
      <c r="O34" s="56">
        <f>K34/F34</f>
        <v>56.63994528043776</v>
      </c>
      <c r="P34" s="56">
        <f>Q34*1.27</f>
        <v>71.9328</v>
      </c>
      <c r="Q34" s="56">
        <v>56.64</v>
      </c>
    </row>
    <row r="35" spans="2:17" s="3" customFormat="1" ht="85.5">
      <c r="B35" s="62" t="s">
        <v>337</v>
      </c>
      <c r="C35" s="55" t="s">
        <v>343</v>
      </c>
      <c r="D35" s="22" t="s">
        <v>344</v>
      </c>
      <c r="E35" s="11" t="s">
        <v>1</v>
      </c>
      <c r="F35" s="57">
        <v>2</v>
      </c>
      <c r="G35" s="57">
        <f>Q35*(1+$G$121/100)*0.25</f>
        <v>27.3475</v>
      </c>
      <c r="H35" s="57">
        <f>Q35*(1+$G$121/100)*0.75</f>
        <v>82.0425</v>
      </c>
      <c r="I35" s="57">
        <f>TRUNC(F35*G35,2)</f>
        <v>54.69</v>
      </c>
      <c r="J35" s="57">
        <f>TRUNC(F35*H35,2)</f>
        <v>164.08</v>
      </c>
      <c r="K35" s="58">
        <f>SUM(I35:J35)</f>
        <v>218.77</v>
      </c>
      <c r="O35" s="56">
        <f>K35/F35</f>
        <v>109.385</v>
      </c>
      <c r="P35" s="56">
        <f>Q35*1.27</f>
        <v>138.9253</v>
      </c>
      <c r="Q35" s="56">
        <v>109.39</v>
      </c>
    </row>
    <row r="36" spans="2:17" s="3" customFormat="1" ht="85.5">
      <c r="B36" s="62" t="s">
        <v>338</v>
      </c>
      <c r="C36" s="55" t="s">
        <v>345</v>
      </c>
      <c r="D36" s="22" t="s">
        <v>346</v>
      </c>
      <c r="E36" s="11" t="s">
        <v>1</v>
      </c>
      <c r="F36" s="57">
        <v>6</v>
      </c>
      <c r="G36" s="57">
        <f>Q36*(1+$G$121/100)*0.25</f>
        <v>20.0675</v>
      </c>
      <c r="H36" s="57">
        <f>Q36*(1+$G$121/100)*0.75</f>
        <v>60.2025</v>
      </c>
      <c r="I36" s="57">
        <f>TRUNC(F36*G36,2)</f>
        <v>120.4</v>
      </c>
      <c r="J36" s="57">
        <f>TRUNC(F36*H36,2)</f>
        <v>361.21</v>
      </c>
      <c r="K36" s="58">
        <f>SUM(I36:J36)</f>
        <v>481.61</v>
      </c>
      <c r="O36" s="56">
        <f>K36/F36</f>
        <v>80.26833333333333</v>
      </c>
      <c r="P36" s="56">
        <f>Q36*1.27</f>
        <v>101.9429</v>
      </c>
      <c r="Q36" s="56">
        <v>80.27</v>
      </c>
    </row>
    <row r="37" spans="2:17" s="3" customFormat="1" ht="85.5">
      <c r="B37" s="62" t="s">
        <v>342</v>
      </c>
      <c r="C37" s="55" t="s">
        <v>347</v>
      </c>
      <c r="D37" s="22" t="s">
        <v>348</v>
      </c>
      <c r="E37" s="11" t="s">
        <v>1</v>
      </c>
      <c r="F37" s="57">
        <v>15</v>
      </c>
      <c r="G37" s="57">
        <f>Q37*(1+$G$121/100)*0.25</f>
        <v>26.25</v>
      </c>
      <c r="H37" s="57">
        <f>Q37*(1+$G$121/100)*0.75</f>
        <v>78.75</v>
      </c>
      <c r="I37" s="57">
        <f>TRUNC(F37*G37,2)</f>
        <v>393.75</v>
      </c>
      <c r="J37" s="57">
        <f>TRUNC(F37*H37,2)</f>
        <v>1181.25</v>
      </c>
      <c r="K37" s="58">
        <f>SUM(I37:J37)</f>
        <v>1575</v>
      </c>
      <c r="O37" s="56">
        <f>K37/F37</f>
        <v>105</v>
      </c>
      <c r="P37" s="56">
        <f>Q37*1.27</f>
        <v>133.35</v>
      </c>
      <c r="Q37" s="56">
        <v>105</v>
      </c>
    </row>
  </sheetData>
  <sheetProtection/>
  <mergeCells count="1">
    <mergeCell ref="B9:K9"/>
  </mergeCells>
  <conditionalFormatting sqref="E12:G12">
    <cfRule type="expression" priority="7" dxfId="0" stopIfTrue="1">
      <formula>$K12=1</formula>
    </cfRule>
  </conditionalFormatting>
  <conditionalFormatting sqref="C12">
    <cfRule type="expression" priority="6" dxfId="0" stopIfTrue="1">
      <formula>$K12=1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T42"/>
  <sheetViews>
    <sheetView zoomScale="70" zoomScaleNormal="70" zoomScaleSheetLayoutView="85" zoomScalePageLayoutView="0" workbookViewId="0" topLeftCell="A1">
      <selection activeCell="B9" sqref="B9:K22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ht="13.5" thickBot="1"/>
    <row r="9" spans="2:11" ht="27.75" customHeight="1">
      <c r="B9" s="401" t="s">
        <v>409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9" ht="22.5">
      <c r="B12" s="346" t="s">
        <v>36</v>
      </c>
      <c r="C12" s="340" t="s">
        <v>108</v>
      </c>
      <c r="D12" s="339" t="s">
        <v>394</v>
      </c>
      <c r="E12" s="365" t="s">
        <v>25</v>
      </c>
      <c r="F12" s="365">
        <v>0.09383259911894273</v>
      </c>
      <c r="G12" s="341">
        <f aca="true" t="shared" si="0" ref="G12:G17">O12*0.25</f>
        <v>3.6125</v>
      </c>
      <c r="H12" s="342">
        <f aca="true" t="shared" si="1" ref="H12:H17">O12-G12</f>
        <v>10.837499999999999</v>
      </c>
      <c r="I12" s="342">
        <f aca="true" t="shared" si="2" ref="I12:I17">F12*G12</f>
        <v>0.3389702643171806</v>
      </c>
      <c r="J12" s="342">
        <f aca="true" t="shared" si="3" ref="J12:J17">F12*H12</f>
        <v>1.0169107929515417</v>
      </c>
      <c r="K12" s="343">
        <f aca="true" t="shared" si="4" ref="K12:K17">I12+J12</f>
        <v>1.3558810572687223</v>
      </c>
      <c r="O12" s="70">
        <v>14.45</v>
      </c>
      <c r="R12">
        <v>0.213</v>
      </c>
      <c r="S12">
        <f>R12*$T$16</f>
        <v>0.09383259911894273</v>
      </c>
    </row>
    <row r="13" spans="2:19" ht="14.25">
      <c r="B13" s="346" t="s">
        <v>173</v>
      </c>
      <c r="C13" s="340" t="s">
        <v>108</v>
      </c>
      <c r="D13" s="339" t="s">
        <v>175</v>
      </c>
      <c r="E13" s="365" t="s">
        <v>25</v>
      </c>
      <c r="F13" s="365">
        <v>0.04625550660792952</v>
      </c>
      <c r="G13" s="341">
        <f t="shared" si="0"/>
        <v>3.755</v>
      </c>
      <c r="H13" s="342">
        <f t="shared" si="1"/>
        <v>11.265</v>
      </c>
      <c r="I13" s="342">
        <f t="shared" si="2"/>
        <v>0.17368942731277534</v>
      </c>
      <c r="J13" s="342">
        <f t="shared" si="3"/>
        <v>0.5210682819383261</v>
      </c>
      <c r="K13" s="343">
        <f t="shared" si="4"/>
        <v>0.6947577092511015</v>
      </c>
      <c r="O13" s="70">
        <v>15.02</v>
      </c>
      <c r="R13">
        <v>0.105</v>
      </c>
      <c r="S13">
        <f>R13*$T$16</f>
        <v>0.04625550660792952</v>
      </c>
    </row>
    <row r="14" spans="2:19" ht="33.75">
      <c r="B14" s="346" t="s">
        <v>390</v>
      </c>
      <c r="C14" s="340" t="s">
        <v>108</v>
      </c>
      <c r="D14" s="339" t="s">
        <v>395</v>
      </c>
      <c r="E14" s="365" t="s">
        <v>360</v>
      </c>
      <c r="F14" s="365">
        <v>0.0029515418502202647</v>
      </c>
      <c r="G14" s="341">
        <f t="shared" si="0"/>
        <v>3.55</v>
      </c>
      <c r="H14" s="342">
        <f t="shared" si="1"/>
        <v>10.649999999999999</v>
      </c>
      <c r="I14" s="342">
        <f t="shared" si="2"/>
        <v>0.010477973568281939</v>
      </c>
      <c r="J14" s="342">
        <f t="shared" si="3"/>
        <v>0.03143392070484582</v>
      </c>
      <c r="K14" s="343">
        <f t="shared" si="4"/>
        <v>0.041911894273127755</v>
      </c>
      <c r="O14" s="70">
        <v>14.2</v>
      </c>
      <c r="R14">
        <v>0.0067</v>
      </c>
      <c r="S14">
        <f>R14*$T$16</f>
        <v>0.0029515418502202647</v>
      </c>
    </row>
    <row r="15" spans="2:19" ht="33.75">
      <c r="B15" s="346" t="s">
        <v>391</v>
      </c>
      <c r="C15" s="340" t="s">
        <v>108</v>
      </c>
      <c r="D15" s="339" t="s">
        <v>396</v>
      </c>
      <c r="E15" s="365" t="s">
        <v>399</v>
      </c>
      <c r="F15" s="365">
        <v>0.004096916299559472</v>
      </c>
      <c r="G15" s="341">
        <f t="shared" si="0"/>
        <v>3.41</v>
      </c>
      <c r="H15" s="342">
        <f t="shared" si="1"/>
        <v>10.23</v>
      </c>
      <c r="I15" s="342">
        <f t="shared" si="2"/>
        <v>0.0139704845814978</v>
      </c>
      <c r="J15" s="342">
        <f t="shared" si="3"/>
        <v>0.0419114537444934</v>
      </c>
      <c r="K15" s="343">
        <f t="shared" si="4"/>
        <v>0.0558819383259912</v>
      </c>
      <c r="O15" s="70">
        <v>13.64</v>
      </c>
      <c r="R15">
        <v>0.0093</v>
      </c>
      <c r="S15">
        <f>R15*$T$16</f>
        <v>0.004096916299559472</v>
      </c>
    </row>
    <row r="16" spans="2:20" ht="22.5">
      <c r="B16" s="346" t="s">
        <v>392</v>
      </c>
      <c r="C16" s="340" t="s">
        <v>108</v>
      </c>
      <c r="D16" s="339" t="s">
        <v>397</v>
      </c>
      <c r="E16" s="365" t="s">
        <v>22</v>
      </c>
      <c r="F16" s="365">
        <v>2.27</v>
      </c>
      <c r="G16" s="341">
        <f t="shared" si="0"/>
        <v>1.015</v>
      </c>
      <c r="H16" s="342">
        <f t="shared" si="1"/>
        <v>3.045</v>
      </c>
      <c r="I16" s="342">
        <f t="shared" si="2"/>
        <v>2.3040499999999997</v>
      </c>
      <c r="J16" s="342">
        <f t="shared" si="3"/>
        <v>6.91215</v>
      </c>
      <c r="K16" s="343">
        <f t="shared" si="4"/>
        <v>9.216199999999999</v>
      </c>
      <c r="O16" s="70">
        <v>4.06</v>
      </c>
      <c r="R16">
        <v>4.31</v>
      </c>
      <c r="S16">
        <f>R16/F16</f>
        <v>1.8986784140969162</v>
      </c>
      <c r="T16">
        <f>S16/R16</f>
        <v>0.4405286343612335</v>
      </c>
    </row>
    <row r="17" spans="2:18" ht="22.5">
      <c r="B17" s="346" t="s">
        <v>393</v>
      </c>
      <c r="C17" s="340" t="s">
        <v>108</v>
      </c>
      <c r="D17" s="339" t="s">
        <v>398</v>
      </c>
      <c r="E17" s="365" t="s">
        <v>400</v>
      </c>
      <c r="F17" s="365">
        <v>0.007</v>
      </c>
      <c r="G17" s="341">
        <f t="shared" si="0"/>
        <v>15.42</v>
      </c>
      <c r="H17" s="342">
        <f t="shared" si="1"/>
        <v>46.26</v>
      </c>
      <c r="I17" s="342">
        <f t="shared" si="2"/>
        <v>0.10794000000000001</v>
      </c>
      <c r="J17" s="342">
        <f t="shared" si="3"/>
        <v>0.32382</v>
      </c>
      <c r="K17" s="343">
        <f t="shared" si="4"/>
        <v>0.43176000000000003</v>
      </c>
      <c r="O17" s="70">
        <v>61.68</v>
      </c>
      <c r="R17">
        <v>0.007</v>
      </c>
    </row>
    <row r="18" spans="2:11" ht="12.75">
      <c r="B18" s="346"/>
      <c r="C18" s="347"/>
      <c r="D18" s="348" t="s">
        <v>6</v>
      </c>
      <c r="E18" s="349"/>
      <c r="F18" s="349"/>
      <c r="G18" s="342"/>
      <c r="H18" s="342"/>
      <c r="I18" s="342"/>
      <c r="J18" s="342"/>
      <c r="K18" s="343">
        <f>SUM(K12:K17)</f>
        <v>11.796392599118942</v>
      </c>
    </row>
    <row r="19" spans="2:11" ht="12.75">
      <c r="B19" s="350"/>
      <c r="C19" s="351"/>
      <c r="D19" s="351"/>
      <c r="E19" s="351"/>
      <c r="F19" s="351"/>
      <c r="G19" s="352"/>
      <c r="H19" s="352"/>
      <c r="I19" s="352"/>
      <c r="J19" s="352"/>
      <c r="K19" s="353"/>
    </row>
    <row r="20" spans="2:11" ht="12.75">
      <c r="B20" s="350"/>
      <c r="C20" s="351"/>
      <c r="D20" s="351" t="str">
        <f>'COMP.6'!D19</f>
        <v>Augusto Pestana, 22 de janeiro de 2018.</v>
      </c>
      <c r="E20" s="351"/>
      <c r="F20" s="351"/>
      <c r="G20" s="352"/>
      <c r="H20" s="352"/>
      <c r="I20" s="354" t="s">
        <v>44</v>
      </c>
      <c r="J20" s="354"/>
      <c r="K20" s="355">
        <f>SUM(I12:I17)</f>
        <v>2.9490981497797355</v>
      </c>
    </row>
    <row r="21" spans="2:11" ht="13.5" thickBot="1">
      <c r="B21" s="356"/>
      <c r="C21" s="357"/>
      <c r="D21" s="358"/>
      <c r="E21" s="358"/>
      <c r="F21" s="358"/>
      <c r="G21" s="359"/>
      <c r="H21" s="359"/>
      <c r="I21" s="360" t="s">
        <v>26</v>
      </c>
      <c r="J21" s="360"/>
      <c r="K21" s="361">
        <f>SUM(J12:J17)</f>
        <v>8.847294449339206</v>
      </c>
    </row>
    <row r="22" spans="2:11" ht="12.75">
      <c r="B22" s="332"/>
      <c r="C22" s="332"/>
      <c r="D22" s="362"/>
      <c r="E22" s="362"/>
      <c r="F22" s="362"/>
      <c r="G22" s="363"/>
      <c r="H22" s="363"/>
      <c r="I22" s="364" t="s">
        <v>6</v>
      </c>
      <c r="J22" s="364"/>
      <c r="K22" s="364">
        <f>SUM(K20:K21)</f>
        <v>11.796392599118942</v>
      </c>
    </row>
    <row r="26" spans="7:8" ht="12.75" hidden="1">
      <c r="G26" t="s">
        <v>23</v>
      </c>
      <c r="H26" t="s">
        <v>24</v>
      </c>
    </row>
    <row r="27" spans="7:8" ht="12.75" hidden="1">
      <c r="G27">
        <v>27</v>
      </c>
      <c r="H27">
        <v>25</v>
      </c>
    </row>
    <row r="39" spans="2:17" s="3" customFormat="1" ht="99.75">
      <c r="B39" s="62" t="s">
        <v>336</v>
      </c>
      <c r="C39" s="55" t="s">
        <v>340</v>
      </c>
      <c r="D39" s="22" t="s">
        <v>341</v>
      </c>
      <c r="E39" s="11" t="s">
        <v>132</v>
      </c>
      <c r="F39" s="57">
        <v>109.65</v>
      </c>
      <c r="G39" s="57">
        <f>Q39*(1+$G$126/100)*0.25</f>
        <v>14.16</v>
      </c>
      <c r="H39" s="57">
        <f>Q39*(1+$G$126/100)*0.75</f>
        <v>42.480000000000004</v>
      </c>
      <c r="I39" s="57">
        <f>TRUNC(F39*G39,2)</f>
        <v>1552.64</v>
      </c>
      <c r="J39" s="57">
        <f>TRUNC(F39*H39,2)</f>
        <v>4657.93</v>
      </c>
      <c r="K39" s="58">
        <f>SUM(I39:J39)</f>
        <v>6210.570000000001</v>
      </c>
      <c r="O39" s="56">
        <f>K39/F39</f>
        <v>56.63994528043776</v>
      </c>
      <c r="P39" s="56">
        <f>Q39*1.27</f>
        <v>71.9328</v>
      </c>
      <c r="Q39" s="56">
        <v>56.64</v>
      </c>
    </row>
    <row r="40" spans="2:17" s="3" customFormat="1" ht="85.5">
      <c r="B40" s="62" t="s">
        <v>337</v>
      </c>
      <c r="C40" s="55" t="s">
        <v>343</v>
      </c>
      <c r="D40" s="22" t="s">
        <v>344</v>
      </c>
      <c r="E40" s="11" t="s">
        <v>1</v>
      </c>
      <c r="F40" s="57">
        <v>2</v>
      </c>
      <c r="G40" s="57">
        <f>Q40*(1+$G$126/100)*0.25</f>
        <v>27.3475</v>
      </c>
      <c r="H40" s="57">
        <f>Q40*(1+$G$126/100)*0.75</f>
        <v>82.0425</v>
      </c>
      <c r="I40" s="57">
        <f>TRUNC(F40*G40,2)</f>
        <v>54.69</v>
      </c>
      <c r="J40" s="57">
        <f>TRUNC(F40*H40,2)</f>
        <v>164.08</v>
      </c>
      <c r="K40" s="58">
        <f>SUM(I40:J40)</f>
        <v>218.77</v>
      </c>
      <c r="O40" s="56">
        <f>K40/F40</f>
        <v>109.385</v>
      </c>
      <c r="P40" s="56">
        <f>Q40*1.27</f>
        <v>138.9253</v>
      </c>
      <c r="Q40" s="56">
        <v>109.39</v>
      </c>
    </row>
    <row r="41" spans="2:17" s="3" customFormat="1" ht="85.5">
      <c r="B41" s="62" t="s">
        <v>338</v>
      </c>
      <c r="C41" s="55" t="s">
        <v>345</v>
      </c>
      <c r="D41" s="22" t="s">
        <v>346</v>
      </c>
      <c r="E41" s="11" t="s">
        <v>1</v>
      </c>
      <c r="F41" s="57">
        <v>6</v>
      </c>
      <c r="G41" s="57">
        <f>Q41*(1+$G$126/100)*0.25</f>
        <v>20.0675</v>
      </c>
      <c r="H41" s="57">
        <f>Q41*(1+$G$126/100)*0.75</f>
        <v>60.2025</v>
      </c>
      <c r="I41" s="57">
        <f>TRUNC(F41*G41,2)</f>
        <v>120.4</v>
      </c>
      <c r="J41" s="57">
        <f>TRUNC(F41*H41,2)</f>
        <v>361.21</v>
      </c>
      <c r="K41" s="58">
        <f>SUM(I41:J41)</f>
        <v>481.61</v>
      </c>
      <c r="O41" s="56">
        <f>K41/F41</f>
        <v>80.26833333333333</v>
      </c>
      <c r="P41" s="56">
        <f>Q41*1.27</f>
        <v>101.9429</v>
      </c>
      <c r="Q41" s="56">
        <v>80.27</v>
      </c>
    </row>
    <row r="42" spans="2:17" s="3" customFormat="1" ht="85.5">
      <c r="B42" s="62" t="s">
        <v>342</v>
      </c>
      <c r="C42" s="55" t="s">
        <v>347</v>
      </c>
      <c r="D42" s="22" t="s">
        <v>348</v>
      </c>
      <c r="E42" s="11" t="s">
        <v>1</v>
      </c>
      <c r="F42" s="57">
        <v>15</v>
      </c>
      <c r="G42" s="57">
        <f>Q42*(1+$G$126/100)*0.25</f>
        <v>26.25</v>
      </c>
      <c r="H42" s="57">
        <f>Q42*(1+$G$126/100)*0.75</f>
        <v>78.75</v>
      </c>
      <c r="I42" s="57">
        <f>TRUNC(F42*G42,2)</f>
        <v>393.75</v>
      </c>
      <c r="J42" s="57">
        <f>TRUNC(F42*H42,2)</f>
        <v>1181.25</v>
      </c>
      <c r="K42" s="58">
        <f>SUM(I42:J42)</f>
        <v>1575</v>
      </c>
      <c r="O42" s="56">
        <f>K42/F42</f>
        <v>105</v>
      </c>
      <c r="P42" s="56">
        <f>Q42*1.27</f>
        <v>133.35</v>
      </c>
      <c r="Q42" s="56">
        <v>105</v>
      </c>
    </row>
  </sheetData>
  <sheetProtection/>
  <mergeCells count="1">
    <mergeCell ref="B9:K9"/>
  </mergeCells>
  <conditionalFormatting sqref="C12 G12 G16 C16:C17">
    <cfRule type="expression" priority="5" dxfId="0" stopIfTrue="1">
      <formula>$K12=1</formula>
    </cfRule>
  </conditionalFormatting>
  <conditionalFormatting sqref="G17">
    <cfRule type="expression" priority="4" dxfId="0" stopIfTrue="1">
      <formula>$K17=1</formula>
    </cfRule>
  </conditionalFormatting>
  <conditionalFormatting sqref="G15 C15">
    <cfRule type="expression" priority="3" dxfId="0" stopIfTrue="1">
      <formula>$K15=1</formula>
    </cfRule>
  </conditionalFormatting>
  <conditionalFormatting sqref="G14 C14">
    <cfRule type="expression" priority="2" dxfId="0" stopIfTrue="1">
      <formula>$K14=1</formula>
    </cfRule>
  </conditionalFormatting>
  <conditionalFormatting sqref="G13 C13">
    <cfRule type="expression" priority="1" dxfId="0" stopIfTrue="1">
      <formula>$K13=1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5"/>
  <sheetViews>
    <sheetView view="pageBreakPreview" zoomScale="85" zoomScaleNormal="85" zoomScaleSheetLayoutView="85" zoomScalePageLayoutView="0" workbookViewId="0" topLeftCell="A1">
      <selection activeCell="B8" sqref="B8:K20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ht="13.5" thickBot="1"/>
    <row r="9" spans="2:11" ht="12.75">
      <c r="B9" s="392" t="s">
        <v>402</v>
      </c>
      <c r="C9" s="393"/>
      <c r="D9" s="393"/>
      <c r="E9" s="393"/>
      <c r="F9" s="393"/>
      <c r="G9" s="393"/>
      <c r="H9" s="393"/>
      <c r="I9" s="393"/>
      <c r="J9" s="393"/>
      <c r="K9" s="394"/>
    </row>
    <row r="10" spans="2:11" ht="12.75">
      <c r="B10" s="33"/>
      <c r="C10" s="34"/>
      <c r="D10" s="34"/>
      <c r="E10" s="34"/>
      <c r="F10" s="34"/>
      <c r="G10" s="34"/>
      <c r="H10" s="34"/>
      <c r="I10" s="34"/>
      <c r="J10" s="34"/>
      <c r="K10" s="35"/>
    </row>
    <row r="11" spans="2:11" ht="42.75">
      <c r="B11" s="61" t="s">
        <v>20</v>
      </c>
      <c r="C11" s="59" t="s">
        <v>18</v>
      </c>
      <c r="D11" s="59" t="s">
        <v>0</v>
      </c>
      <c r="E11" s="59" t="s">
        <v>21</v>
      </c>
      <c r="F11" s="59" t="s">
        <v>43</v>
      </c>
      <c r="G11" s="59" t="s">
        <v>53</v>
      </c>
      <c r="H11" s="59" t="s">
        <v>54</v>
      </c>
      <c r="I11" s="59" t="s">
        <v>55</v>
      </c>
      <c r="J11" s="59" t="s">
        <v>56</v>
      </c>
      <c r="K11" s="60" t="s">
        <v>6</v>
      </c>
    </row>
    <row r="12" spans="2:11" ht="36.75" customHeight="1">
      <c r="B12" s="48"/>
      <c r="C12" s="23" t="s">
        <v>17</v>
      </c>
      <c r="D12" s="48" t="s">
        <v>58</v>
      </c>
      <c r="E12" s="8" t="s">
        <v>22</v>
      </c>
      <c r="F12" s="46">
        <f>9.15*3.33</f>
        <v>30.469500000000004</v>
      </c>
      <c r="G12" s="51">
        <f>4.35*0.25</f>
        <v>1.0875</v>
      </c>
      <c r="H12" s="52">
        <f>4.35*0.75</f>
        <v>3.2624999999999997</v>
      </c>
      <c r="I12" s="52">
        <f>F12*G12</f>
        <v>33.13558125</v>
      </c>
      <c r="J12" s="52">
        <f>F12*H12</f>
        <v>99.40674375</v>
      </c>
      <c r="K12" s="53">
        <f>I12+J12</f>
        <v>132.542325</v>
      </c>
    </row>
    <row r="13" spans="2:11" ht="47.25" customHeight="1">
      <c r="B13" s="48" t="s">
        <v>36</v>
      </c>
      <c r="C13" s="23" t="s">
        <v>17</v>
      </c>
      <c r="D13" s="48" t="s">
        <v>37</v>
      </c>
      <c r="E13" s="9" t="s">
        <v>25</v>
      </c>
      <c r="F13" s="9">
        <v>1.5</v>
      </c>
      <c r="G13" s="51">
        <f>15.69*0.25</f>
        <v>3.9225</v>
      </c>
      <c r="H13" s="52">
        <f>15.69*0.75</f>
        <v>11.7675</v>
      </c>
      <c r="I13" s="52">
        <f>F13*G13</f>
        <v>5.88375</v>
      </c>
      <c r="J13" s="52">
        <f>F13*H13</f>
        <v>17.65125</v>
      </c>
      <c r="K13" s="53">
        <f>I13+J13</f>
        <v>23.535</v>
      </c>
    </row>
    <row r="14" spans="2:11" ht="42.75">
      <c r="B14" s="48" t="s">
        <v>39</v>
      </c>
      <c r="C14" s="23" t="s">
        <v>17</v>
      </c>
      <c r="D14" s="48" t="s">
        <v>40</v>
      </c>
      <c r="E14" s="9" t="s">
        <v>19</v>
      </c>
      <c r="F14" s="9">
        <f>(9.15*(2*(0.04+0.14+0.04)))</f>
        <v>4.026000000000001</v>
      </c>
      <c r="G14" s="51">
        <f>16.95*0.25</f>
        <v>4.2375</v>
      </c>
      <c r="H14" s="52">
        <f>16.95*0.75</f>
        <v>12.712499999999999</v>
      </c>
      <c r="I14" s="52">
        <f>F14*G14</f>
        <v>17.060175</v>
      </c>
      <c r="J14" s="52">
        <f>F14*H14</f>
        <v>51.180525</v>
      </c>
      <c r="K14" s="53">
        <f>I14+J14</f>
        <v>68.2407</v>
      </c>
    </row>
    <row r="15" spans="2:11" ht="42.75">
      <c r="B15" s="48" t="s">
        <v>41</v>
      </c>
      <c r="C15" s="8" t="s">
        <v>17</v>
      </c>
      <c r="D15" s="48" t="s">
        <v>42</v>
      </c>
      <c r="E15" s="8" t="s">
        <v>19</v>
      </c>
      <c r="F15" s="9">
        <f>(9.15*(2*(0.04+0.14+0.04)))</f>
        <v>4.026000000000001</v>
      </c>
      <c r="G15" s="51">
        <f>22.68*0.25</f>
        <v>5.67</v>
      </c>
      <c r="H15" s="52">
        <f>22.68*0.75</f>
        <v>17.009999999999998</v>
      </c>
      <c r="I15" s="52">
        <f>F15*G15</f>
        <v>22.827420000000004</v>
      </c>
      <c r="J15" s="52">
        <f>F15*H15</f>
        <v>68.48226000000001</v>
      </c>
      <c r="K15" s="53">
        <f>I15+J15</f>
        <v>91.30968000000001</v>
      </c>
    </row>
    <row r="16" spans="2:11" ht="14.25">
      <c r="B16" s="49"/>
      <c r="C16" s="50"/>
      <c r="D16" s="47" t="s">
        <v>6</v>
      </c>
      <c r="E16" s="54"/>
      <c r="F16" s="54"/>
      <c r="G16" s="52"/>
      <c r="H16" s="52"/>
      <c r="I16" s="52"/>
      <c r="J16" s="52"/>
      <c r="K16" s="53">
        <f>SUM(K12:K15)</f>
        <v>315.627705</v>
      </c>
    </row>
    <row r="17" spans="2:11" ht="14.25">
      <c r="B17" s="36"/>
      <c r="C17" s="27"/>
      <c r="D17" s="27"/>
      <c r="E17" s="27"/>
      <c r="F17" s="27"/>
      <c r="G17" s="37"/>
      <c r="H17" s="37"/>
      <c r="I17" s="37"/>
      <c r="J17" s="37"/>
      <c r="K17" s="38"/>
    </row>
    <row r="18" spans="2:11" ht="14.25">
      <c r="B18" s="36"/>
      <c r="C18" s="27"/>
      <c r="D18" s="27" t="str">
        <f>'COMP.6'!D19</f>
        <v>Augusto Pestana, 22 de janeiro de 2018.</v>
      </c>
      <c r="E18" s="27"/>
      <c r="F18" s="27"/>
      <c r="G18" s="37"/>
      <c r="H18" s="37"/>
      <c r="I18" s="26" t="s">
        <v>44</v>
      </c>
      <c r="J18" s="26"/>
      <c r="K18" s="39">
        <f>SUM(I12:I15)</f>
        <v>78.90692625</v>
      </c>
    </row>
    <row r="19" spans="2:11" ht="15" thickBot="1">
      <c r="B19" s="40"/>
      <c r="C19" s="41"/>
      <c r="D19" s="42"/>
      <c r="E19" s="42"/>
      <c r="F19" s="42"/>
      <c r="G19" s="43"/>
      <c r="H19" s="43"/>
      <c r="I19" s="44" t="s">
        <v>26</v>
      </c>
      <c r="J19" s="44"/>
      <c r="K19" s="45">
        <f>SUM(J12:J15)</f>
        <v>236.72077875000002</v>
      </c>
    </row>
    <row r="20" spans="2:11" ht="14.25">
      <c r="B20" s="10"/>
      <c r="C20" s="10"/>
      <c r="D20" s="24"/>
      <c r="E20" s="24"/>
      <c r="F20" s="24"/>
      <c r="G20" s="25"/>
      <c r="H20" s="25"/>
      <c r="I20" s="32" t="s">
        <v>6</v>
      </c>
      <c r="J20" s="32"/>
      <c r="K20" s="32">
        <f>SUM(K18:K19)</f>
        <v>315.627705</v>
      </c>
    </row>
    <row r="24" spans="7:8" ht="12.75" hidden="1">
      <c r="G24" t="s">
        <v>23</v>
      </c>
      <c r="H24" t="s">
        <v>24</v>
      </c>
    </row>
    <row r="25" spans="7:8" ht="12.75" hidden="1">
      <c r="G25">
        <v>27</v>
      </c>
      <c r="H25">
        <v>25</v>
      </c>
    </row>
  </sheetData>
  <sheetProtection/>
  <mergeCells count="1">
    <mergeCell ref="B9:K9"/>
  </mergeCells>
  <conditionalFormatting sqref="C15 E15">
    <cfRule type="expression" priority="7" dxfId="0" stopIfTrue="1">
      <formula>$K15=1</formula>
    </cfRule>
  </conditionalFormatting>
  <conditionalFormatting sqref="G12">
    <cfRule type="expression" priority="5" dxfId="0" stopIfTrue="1">
      <formula>$K12=1</formula>
    </cfRule>
  </conditionalFormatting>
  <conditionalFormatting sqref="G13">
    <cfRule type="expression" priority="4" dxfId="0" stopIfTrue="1">
      <formula>$K13=1</formula>
    </cfRule>
  </conditionalFormatting>
  <conditionalFormatting sqref="G14">
    <cfRule type="expression" priority="3" dxfId="0" stopIfTrue="1">
      <formula>$K14=1</formula>
    </cfRule>
  </conditionalFormatting>
  <conditionalFormatting sqref="G15">
    <cfRule type="expression" priority="2" dxfId="0" stopIfTrue="1">
      <formula>$K15=1</formula>
    </cfRule>
  </conditionalFormatting>
  <conditionalFormatting sqref="E12">
    <cfRule type="expression" priority="1" dxfId="0" stopIfTrue="1">
      <formula>$K12=1</formula>
    </cfRule>
  </conditionalFormatting>
  <conditionalFormatting sqref="C12:C14">
    <cfRule type="expression" priority="8" dxfId="0" stopIfTrue="1">
      <formula>'COMP.44'!#REF!=1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5"/>
  <sheetViews>
    <sheetView view="pageBreakPreview" zoomScale="85" zoomScaleNormal="85" zoomScaleSheetLayoutView="85" zoomScalePageLayoutView="0" workbookViewId="0" topLeftCell="A1">
      <selection activeCell="B8" sqref="B8:K21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ht="13.5" thickBot="1"/>
    <row r="9" spans="2:11" ht="12.75">
      <c r="B9" s="392" t="s">
        <v>403</v>
      </c>
      <c r="C9" s="393"/>
      <c r="D9" s="393"/>
      <c r="E9" s="393"/>
      <c r="F9" s="393"/>
      <c r="G9" s="393"/>
      <c r="H9" s="393"/>
      <c r="I9" s="393"/>
      <c r="J9" s="393"/>
      <c r="K9" s="394"/>
    </row>
    <row r="10" spans="2:11" ht="12.75">
      <c r="B10" s="33"/>
      <c r="C10" s="34"/>
      <c r="D10" s="34"/>
      <c r="E10" s="34"/>
      <c r="F10" s="34"/>
      <c r="G10" s="34"/>
      <c r="H10" s="34"/>
      <c r="I10" s="34"/>
      <c r="J10" s="34"/>
      <c r="K10" s="35"/>
    </row>
    <row r="11" spans="2:11" ht="42.75">
      <c r="B11" s="61" t="s">
        <v>20</v>
      </c>
      <c r="C11" s="59" t="s">
        <v>18</v>
      </c>
      <c r="D11" s="59" t="s">
        <v>0</v>
      </c>
      <c r="E11" s="59" t="s">
        <v>21</v>
      </c>
      <c r="F11" s="59" t="s">
        <v>43</v>
      </c>
      <c r="G11" s="59" t="s">
        <v>53</v>
      </c>
      <c r="H11" s="59" t="s">
        <v>54</v>
      </c>
      <c r="I11" s="59" t="s">
        <v>55</v>
      </c>
      <c r="J11" s="59" t="s">
        <v>56</v>
      </c>
      <c r="K11" s="60" t="s">
        <v>6</v>
      </c>
    </row>
    <row r="12" spans="2:11" ht="36.75" customHeight="1">
      <c r="B12" s="48"/>
      <c r="C12" s="23" t="s">
        <v>17</v>
      </c>
      <c r="D12" s="48" t="s">
        <v>58</v>
      </c>
      <c r="E12" s="8" t="s">
        <v>22</v>
      </c>
      <c r="F12" s="46">
        <f>9.55*3.33</f>
        <v>31.801500000000004</v>
      </c>
      <c r="G12" s="51">
        <f>4.35*0.25</f>
        <v>1.0875</v>
      </c>
      <c r="H12" s="52">
        <f>4.35*0.75</f>
        <v>3.2624999999999997</v>
      </c>
      <c r="I12" s="52">
        <f>F12*G12</f>
        <v>34.58413125</v>
      </c>
      <c r="J12" s="52">
        <f>F12*H12</f>
        <v>103.75239375000001</v>
      </c>
      <c r="K12" s="53">
        <f>I12+J12</f>
        <v>138.336525</v>
      </c>
    </row>
    <row r="13" spans="2:11" ht="47.25" customHeight="1">
      <c r="B13" s="48" t="s">
        <v>36</v>
      </c>
      <c r="C13" s="23" t="s">
        <v>17</v>
      </c>
      <c r="D13" s="48" t="s">
        <v>37</v>
      </c>
      <c r="E13" s="9" t="s">
        <v>25</v>
      </c>
      <c r="F13" s="9">
        <v>1.5</v>
      </c>
      <c r="G13" s="51">
        <f>15.69*0.25</f>
        <v>3.9225</v>
      </c>
      <c r="H13" s="52">
        <f>15.69*0.75</f>
        <v>11.7675</v>
      </c>
      <c r="I13" s="52">
        <f>F13*G13</f>
        <v>5.88375</v>
      </c>
      <c r="J13" s="52">
        <f>F13*H13</f>
        <v>17.65125</v>
      </c>
      <c r="K13" s="53">
        <f>I13+J13</f>
        <v>23.535</v>
      </c>
    </row>
    <row r="14" spans="2:11" ht="42.75">
      <c r="B14" s="48" t="s">
        <v>39</v>
      </c>
      <c r="C14" s="23" t="s">
        <v>17</v>
      </c>
      <c r="D14" s="48" t="s">
        <v>40</v>
      </c>
      <c r="E14" s="9" t="s">
        <v>19</v>
      </c>
      <c r="F14" s="9">
        <f>(9.55*(2*(0.04+0.14+0.04)))</f>
        <v>4.202000000000001</v>
      </c>
      <c r="G14" s="51">
        <f>16.95*0.25</f>
        <v>4.2375</v>
      </c>
      <c r="H14" s="52">
        <f>16.95*0.75</f>
        <v>12.712499999999999</v>
      </c>
      <c r="I14" s="52">
        <f>F14*G14</f>
        <v>17.805975000000004</v>
      </c>
      <c r="J14" s="52">
        <f>F14*H14</f>
        <v>53.417925000000004</v>
      </c>
      <c r="K14" s="53">
        <f>I14+J14</f>
        <v>71.22390000000001</v>
      </c>
    </row>
    <row r="15" spans="2:11" ht="42.75">
      <c r="B15" s="48" t="s">
        <v>41</v>
      </c>
      <c r="C15" s="8" t="s">
        <v>17</v>
      </c>
      <c r="D15" s="48" t="s">
        <v>42</v>
      </c>
      <c r="E15" s="8" t="s">
        <v>19</v>
      </c>
      <c r="F15" s="9">
        <f>(9.55*(2*(0.04+0.14+0.04)))</f>
        <v>4.202000000000001</v>
      </c>
      <c r="G15" s="51">
        <f>22.68*0.25</f>
        <v>5.67</v>
      </c>
      <c r="H15" s="52">
        <f>22.68*0.75</f>
        <v>17.009999999999998</v>
      </c>
      <c r="I15" s="52">
        <f>F15*G15</f>
        <v>23.825340000000004</v>
      </c>
      <c r="J15" s="52">
        <f>F15*H15</f>
        <v>71.47602</v>
      </c>
      <c r="K15" s="53">
        <f>I15+J15</f>
        <v>95.30136000000002</v>
      </c>
    </row>
    <row r="16" spans="2:11" ht="14.25">
      <c r="B16" s="49"/>
      <c r="C16" s="50"/>
      <c r="D16" s="47" t="s">
        <v>6</v>
      </c>
      <c r="E16" s="54"/>
      <c r="F16" s="54"/>
      <c r="G16" s="52"/>
      <c r="H16" s="52"/>
      <c r="I16" s="52"/>
      <c r="J16" s="52"/>
      <c r="K16" s="53">
        <f>SUM(K12:K15)</f>
        <v>328.396785</v>
      </c>
    </row>
    <row r="17" spans="2:11" ht="14.25">
      <c r="B17" s="36"/>
      <c r="C17" s="27"/>
      <c r="D17" s="27"/>
      <c r="E17" s="27"/>
      <c r="F17" s="27"/>
      <c r="G17" s="37"/>
      <c r="H17" s="37"/>
      <c r="I17" s="37"/>
      <c r="J17" s="37"/>
      <c r="K17" s="38"/>
    </row>
    <row r="18" spans="2:11" ht="14.25">
      <c r="B18" s="36"/>
      <c r="C18" s="27"/>
      <c r="D18" s="27" t="str">
        <f>'COMP.6'!D19</f>
        <v>Augusto Pestana, 22 de janeiro de 2018.</v>
      </c>
      <c r="E18" s="27"/>
      <c r="F18" s="27"/>
      <c r="G18" s="37"/>
      <c r="H18" s="37"/>
      <c r="I18" s="26" t="s">
        <v>44</v>
      </c>
      <c r="J18" s="26"/>
      <c r="K18" s="39">
        <f>SUM(I12:I15)</f>
        <v>82.09919625</v>
      </c>
    </row>
    <row r="19" spans="2:11" ht="15" thickBot="1">
      <c r="B19" s="40"/>
      <c r="C19" s="41"/>
      <c r="D19" s="42"/>
      <c r="E19" s="42"/>
      <c r="F19" s="42"/>
      <c r="G19" s="43"/>
      <c r="H19" s="43"/>
      <c r="I19" s="44" t="s">
        <v>26</v>
      </c>
      <c r="J19" s="44"/>
      <c r="K19" s="45">
        <f>SUM(J12:J15)</f>
        <v>246.29758875000002</v>
      </c>
    </row>
    <row r="20" spans="2:11" ht="14.25">
      <c r="B20" s="10"/>
      <c r="C20" s="10"/>
      <c r="D20" s="24"/>
      <c r="E20" s="24"/>
      <c r="F20" s="24"/>
      <c r="G20" s="25"/>
      <c r="H20" s="25"/>
      <c r="I20" s="32" t="s">
        <v>6</v>
      </c>
      <c r="J20" s="32"/>
      <c r="K20" s="32">
        <f>SUM(K18:K19)</f>
        <v>328.396785</v>
      </c>
    </row>
    <row r="24" spans="7:8" ht="12.75" hidden="1">
      <c r="G24" t="s">
        <v>23</v>
      </c>
      <c r="H24" t="s">
        <v>24</v>
      </c>
    </row>
    <row r="25" spans="7:8" ht="12.75" hidden="1">
      <c r="G25">
        <v>27</v>
      </c>
      <c r="H25">
        <v>25</v>
      </c>
    </row>
  </sheetData>
  <sheetProtection/>
  <mergeCells count="1">
    <mergeCell ref="B9:K9"/>
  </mergeCells>
  <conditionalFormatting sqref="C15 E15">
    <cfRule type="expression" priority="6" dxfId="0" stopIfTrue="1">
      <formula>$K15=1</formula>
    </cfRule>
  </conditionalFormatting>
  <conditionalFormatting sqref="G12">
    <cfRule type="expression" priority="5" dxfId="0" stopIfTrue="1">
      <formula>$K12=1</formula>
    </cfRule>
  </conditionalFormatting>
  <conditionalFormatting sqref="G13">
    <cfRule type="expression" priority="4" dxfId="0" stopIfTrue="1">
      <formula>$K13=1</formula>
    </cfRule>
  </conditionalFormatting>
  <conditionalFormatting sqref="G14">
    <cfRule type="expression" priority="3" dxfId="0" stopIfTrue="1">
      <formula>$K14=1</formula>
    </cfRule>
  </conditionalFormatting>
  <conditionalFormatting sqref="G15">
    <cfRule type="expression" priority="2" dxfId="0" stopIfTrue="1">
      <formula>$K15=1</formula>
    </cfRule>
  </conditionalFormatting>
  <conditionalFormatting sqref="E12">
    <cfRule type="expression" priority="1" dxfId="0" stopIfTrue="1">
      <formula>$K12=1</formula>
    </cfRule>
  </conditionalFormatting>
  <conditionalFormatting sqref="C12:C14">
    <cfRule type="expression" priority="7" dxfId="0" stopIfTrue="1">
      <formula>'COMP.45'!#REF!=1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28"/>
  <sheetViews>
    <sheetView view="pageBreakPreview" zoomScale="85" zoomScaleNormal="85" zoomScaleSheetLayoutView="85" zoomScalePageLayoutView="0" workbookViewId="0" topLeftCell="A1">
      <selection activeCell="B8" sqref="B8:K23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298"/>
      <c r="C8" s="298"/>
      <c r="D8" s="298"/>
      <c r="E8" s="298"/>
      <c r="F8" s="298"/>
      <c r="G8" s="298"/>
      <c r="H8" s="298"/>
      <c r="I8" s="298"/>
      <c r="J8" s="298"/>
      <c r="K8" s="298"/>
    </row>
    <row r="9" spans="2:11" ht="12.75">
      <c r="B9" s="395" t="s">
        <v>815</v>
      </c>
      <c r="C9" s="396"/>
      <c r="D9" s="396"/>
      <c r="E9" s="396"/>
      <c r="F9" s="396"/>
      <c r="G9" s="396"/>
      <c r="H9" s="396"/>
      <c r="I9" s="396"/>
      <c r="J9" s="396"/>
      <c r="K9" s="397"/>
    </row>
    <row r="10" spans="2:11" ht="12.75">
      <c r="B10" s="299"/>
      <c r="C10" s="300"/>
      <c r="D10" s="300"/>
      <c r="E10" s="300"/>
      <c r="F10" s="300"/>
      <c r="G10" s="300"/>
      <c r="H10" s="300"/>
      <c r="I10" s="300"/>
      <c r="J10" s="300"/>
      <c r="K10" s="301"/>
    </row>
    <row r="11" spans="2:11" ht="18">
      <c r="B11" s="302" t="s">
        <v>20</v>
      </c>
      <c r="C11" s="303" t="s">
        <v>18</v>
      </c>
      <c r="D11" s="303" t="s">
        <v>0</v>
      </c>
      <c r="E11" s="303" t="s">
        <v>21</v>
      </c>
      <c r="F11" s="303" t="s">
        <v>43</v>
      </c>
      <c r="G11" s="303" t="s">
        <v>53</v>
      </c>
      <c r="H11" s="303" t="s">
        <v>54</v>
      </c>
      <c r="I11" s="303" t="s">
        <v>55</v>
      </c>
      <c r="J11" s="303" t="s">
        <v>56</v>
      </c>
      <c r="K11" s="304" t="s">
        <v>6</v>
      </c>
    </row>
    <row r="12" spans="2:15" ht="12.75">
      <c r="B12" s="305">
        <v>88260</v>
      </c>
      <c r="C12" s="306" t="s">
        <v>17</v>
      </c>
      <c r="D12" s="307" t="s">
        <v>776</v>
      </c>
      <c r="E12" s="306" t="s">
        <v>25</v>
      </c>
      <c r="F12" s="306">
        <v>0.5</v>
      </c>
      <c r="G12" s="308">
        <f>O12*0.25</f>
        <v>4.71</v>
      </c>
      <c r="H12" s="309">
        <f>O12-G12</f>
        <v>14.129999999999999</v>
      </c>
      <c r="I12" s="309">
        <f aca="true" t="shared" si="0" ref="I12:I18">F12*G12</f>
        <v>2.355</v>
      </c>
      <c r="J12" s="309">
        <f aca="true" t="shared" si="1" ref="J12:J18">F12*H12</f>
        <v>7.0649999999999995</v>
      </c>
      <c r="K12" s="310">
        <f aca="true" t="shared" si="2" ref="K12:K18">I12+J12</f>
        <v>9.42</v>
      </c>
      <c r="O12">
        <v>18.84</v>
      </c>
    </row>
    <row r="13" spans="2:15" ht="36.75" customHeight="1">
      <c r="B13" s="305">
        <v>88316</v>
      </c>
      <c r="C13" s="306" t="s">
        <v>17</v>
      </c>
      <c r="D13" s="307" t="s">
        <v>773</v>
      </c>
      <c r="E13" s="306" t="s">
        <v>25</v>
      </c>
      <c r="F13" s="311">
        <v>0.4</v>
      </c>
      <c r="G13" s="308">
        <f aca="true" t="shared" si="3" ref="G13:G18">O13*0.25</f>
        <v>3.755</v>
      </c>
      <c r="H13" s="309">
        <f aca="true" t="shared" si="4" ref="H13:H18">O13-G13</f>
        <v>11.265</v>
      </c>
      <c r="I13" s="309">
        <f t="shared" si="0"/>
        <v>1.502</v>
      </c>
      <c r="J13" s="309">
        <f t="shared" si="1"/>
        <v>4.506</v>
      </c>
      <c r="K13" s="310">
        <f t="shared" si="2"/>
        <v>6.008</v>
      </c>
      <c r="O13">
        <v>15.02</v>
      </c>
    </row>
    <row r="14" spans="2:15" ht="47.25" customHeight="1">
      <c r="B14" s="305" t="s">
        <v>765</v>
      </c>
      <c r="C14" s="306" t="s">
        <v>17</v>
      </c>
      <c r="D14" s="307" t="s">
        <v>775</v>
      </c>
      <c r="E14" s="312" t="s">
        <v>109</v>
      </c>
      <c r="F14" s="312">
        <v>0.2</v>
      </c>
      <c r="G14" s="308">
        <f t="shared" si="3"/>
        <v>11.7625</v>
      </c>
      <c r="H14" s="309">
        <f t="shared" si="4"/>
        <v>35.287499999999994</v>
      </c>
      <c r="I14" s="309">
        <f t="shared" si="0"/>
        <v>2.3525</v>
      </c>
      <c r="J14" s="309">
        <f t="shared" si="1"/>
        <v>7.057499999999999</v>
      </c>
      <c r="K14" s="310">
        <f t="shared" si="2"/>
        <v>9.41</v>
      </c>
      <c r="O14">
        <v>47.05</v>
      </c>
    </row>
    <row r="15" spans="2:15" ht="18">
      <c r="B15" s="305">
        <v>72887</v>
      </c>
      <c r="C15" s="306" t="s">
        <v>17</v>
      </c>
      <c r="D15" s="307" t="s">
        <v>772</v>
      </c>
      <c r="E15" s="312" t="s">
        <v>766</v>
      </c>
      <c r="F15" s="312">
        <v>1.55</v>
      </c>
      <c r="G15" s="308">
        <f t="shared" si="3"/>
        <v>0.23</v>
      </c>
      <c r="H15" s="309">
        <f t="shared" si="4"/>
        <v>0.6900000000000001</v>
      </c>
      <c r="I15" s="309">
        <f t="shared" si="0"/>
        <v>0.35650000000000004</v>
      </c>
      <c r="J15" s="309">
        <f t="shared" si="1"/>
        <v>1.0695000000000001</v>
      </c>
      <c r="K15" s="310">
        <f t="shared" si="2"/>
        <v>1.4260000000000002</v>
      </c>
      <c r="O15">
        <v>0.92</v>
      </c>
    </row>
    <row r="16" spans="2:15" ht="12.75">
      <c r="B16" s="305" t="s">
        <v>764</v>
      </c>
      <c r="C16" s="306" t="s">
        <v>17</v>
      </c>
      <c r="D16" s="307" t="s">
        <v>774</v>
      </c>
      <c r="E16" s="312" t="s">
        <v>109</v>
      </c>
      <c r="F16" s="312">
        <v>0.04</v>
      </c>
      <c r="G16" s="308">
        <f t="shared" si="3"/>
        <v>10.7375</v>
      </c>
      <c r="H16" s="309">
        <f t="shared" si="4"/>
        <v>32.212500000000006</v>
      </c>
      <c r="I16" s="309">
        <f t="shared" si="0"/>
        <v>0.42950000000000005</v>
      </c>
      <c r="J16" s="309">
        <f t="shared" si="1"/>
        <v>1.2885000000000002</v>
      </c>
      <c r="K16" s="310">
        <f t="shared" si="2"/>
        <v>1.7180000000000002</v>
      </c>
      <c r="O16">
        <v>42.95</v>
      </c>
    </row>
    <row r="17" spans="2:15" ht="12.75">
      <c r="B17" s="305">
        <v>88316</v>
      </c>
      <c r="C17" s="306"/>
      <c r="D17" s="307" t="s">
        <v>773</v>
      </c>
      <c r="E17" s="312" t="s">
        <v>25</v>
      </c>
      <c r="F17" s="312">
        <v>0.12</v>
      </c>
      <c r="G17" s="308">
        <f t="shared" si="3"/>
        <v>3.755</v>
      </c>
      <c r="H17" s="309">
        <f t="shared" si="4"/>
        <v>11.265</v>
      </c>
      <c r="I17" s="309">
        <f t="shared" si="0"/>
        <v>0.45059999999999995</v>
      </c>
      <c r="J17" s="309">
        <f t="shared" si="1"/>
        <v>1.3518000000000001</v>
      </c>
      <c r="K17" s="310">
        <f t="shared" si="2"/>
        <v>1.8024</v>
      </c>
      <c r="O17">
        <v>15.02</v>
      </c>
    </row>
    <row r="18" spans="2:15" ht="18">
      <c r="B18" s="305">
        <v>72887</v>
      </c>
      <c r="C18" s="306" t="s">
        <v>17</v>
      </c>
      <c r="D18" s="307" t="s">
        <v>772</v>
      </c>
      <c r="E18" s="306" t="s">
        <v>766</v>
      </c>
      <c r="F18" s="306">
        <v>1.55</v>
      </c>
      <c r="G18" s="308">
        <f t="shared" si="3"/>
        <v>0.23</v>
      </c>
      <c r="H18" s="309">
        <f t="shared" si="4"/>
        <v>0.6900000000000001</v>
      </c>
      <c r="I18" s="309">
        <f t="shared" si="0"/>
        <v>0.35650000000000004</v>
      </c>
      <c r="J18" s="309">
        <f t="shared" si="1"/>
        <v>1.0695000000000001</v>
      </c>
      <c r="K18" s="310">
        <f t="shared" si="2"/>
        <v>1.4260000000000002</v>
      </c>
      <c r="O18">
        <v>0.92</v>
      </c>
    </row>
    <row r="19" spans="2:11" ht="12.75">
      <c r="B19" s="313"/>
      <c r="C19" s="314"/>
      <c r="D19" s="315" t="s">
        <v>6</v>
      </c>
      <c r="E19" s="316"/>
      <c r="F19" s="316"/>
      <c r="G19" s="309"/>
      <c r="H19" s="309"/>
      <c r="I19" s="309"/>
      <c r="J19" s="309"/>
      <c r="K19" s="310">
        <f>SUM(K12:K18)</f>
        <v>31.2104</v>
      </c>
    </row>
    <row r="20" spans="2:11" ht="12.75">
      <c r="B20" s="317"/>
      <c r="C20" s="318"/>
      <c r="D20" s="318"/>
      <c r="E20" s="318"/>
      <c r="F20" s="318"/>
      <c r="G20" s="319"/>
      <c r="H20" s="319"/>
      <c r="I20" s="319"/>
      <c r="J20" s="319"/>
      <c r="K20" s="320"/>
    </row>
    <row r="21" spans="2:11" ht="12.75">
      <c r="B21" s="317"/>
      <c r="C21" s="318"/>
      <c r="D21" s="318" t="s">
        <v>89</v>
      </c>
      <c r="E21" s="318"/>
      <c r="F21" s="318"/>
      <c r="G21" s="319"/>
      <c r="H21" s="319"/>
      <c r="I21" s="321" t="s">
        <v>44</v>
      </c>
      <c r="J21" s="321"/>
      <c r="K21" s="322">
        <f>SUM(I12:I18)</f>
        <v>7.8026</v>
      </c>
    </row>
    <row r="22" spans="2:11" ht="13.5" thickBot="1">
      <c r="B22" s="323"/>
      <c r="C22" s="324"/>
      <c r="D22" s="325"/>
      <c r="E22" s="325"/>
      <c r="F22" s="325"/>
      <c r="G22" s="326"/>
      <c r="H22" s="326"/>
      <c r="I22" s="327" t="s">
        <v>26</v>
      </c>
      <c r="J22" s="327"/>
      <c r="K22" s="328">
        <f>SUM(J12:J18)</f>
        <v>23.4078</v>
      </c>
    </row>
    <row r="23" spans="2:11" ht="12.75">
      <c r="B23" s="298"/>
      <c r="C23" s="298"/>
      <c r="D23" s="329"/>
      <c r="E23" s="329"/>
      <c r="F23" s="329"/>
      <c r="G23" s="330"/>
      <c r="H23" s="330"/>
      <c r="I23" s="331" t="s">
        <v>6</v>
      </c>
      <c r="J23" s="331"/>
      <c r="K23" s="331">
        <f>SUM(K21:K22)</f>
        <v>31.2104</v>
      </c>
    </row>
    <row r="27" spans="7:8" ht="12.75" hidden="1">
      <c r="G27" t="s">
        <v>23</v>
      </c>
      <c r="H27" t="s">
        <v>24</v>
      </c>
    </row>
    <row r="28" spans="7:8" ht="12.75" hidden="1">
      <c r="G28">
        <v>27</v>
      </c>
      <c r="H28">
        <v>25</v>
      </c>
    </row>
  </sheetData>
  <sheetProtection/>
  <mergeCells count="1">
    <mergeCell ref="B9:K9"/>
  </mergeCells>
  <conditionalFormatting sqref="E12:G12">
    <cfRule type="expression" priority="11" dxfId="0" stopIfTrue="1">
      <formula>$K12=1</formula>
    </cfRule>
  </conditionalFormatting>
  <conditionalFormatting sqref="C12">
    <cfRule type="expression" priority="10" dxfId="0" stopIfTrue="1">
      <formula>$K12=1</formula>
    </cfRule>
  </conditionalFormatting>
  <conditionalFormatting sqref="G13">
    <cfRule type="expression" priority="9" dxfId="0" stopIfTrue="1">
      <formula>$K13=1</formula>
    </cfRule>
  </conditionalFormatting>
  <conditionalFormatting sqref="G14">
    <cfRule type="expression" priority="8" dxfId="0" stopIfTrue="1">
      <formula>$K14=1</formula>
    </cfRule>
  </conditionalFormatting>
  <conditionalFormatting sqref="G15:G17">
    <cfRule type="expression" priority="7" dxfId="0" stopIfTrue="1">
      <formula>$K15=1</formula>
    </cfRule>
  </conditionalFormatting>
  <conditionalFormatting sqref="E13">
    <cfRule type="expression" priority="5" dxfId="0" stopIfTrue="1">
      <formula>$K13=1</formula>
    </cfRule>
  </conditionalFormatting>
  <conditionalFormatting sqref="C13:C17">
    <cfRule type="expression" priority="12" dxfId="0" stopIfTrue="1">
      <formula>'COMP.3'!#REF!=1</formula>
    </cfRule>
  </conditionalFormatting>
  <conditionalFormatting sqref="C18 E18:F18">
    <cfRule type="expression" priority="2" dxfId="0" stopIfTrue="1">
      <formula>$K18=1</formula>
    </cfRule>
  </conditionalFormatting>
  <conditionalFormatting sqref="G18">
    <cfRule type="expression" priority="1" dxfId="0" stopIfTrue="1">
      <formula>$K18=1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3"/>
  <sheetViews>
    <sheetView view="pageBreakPreview" zoomScale="85" zoomScaleNormal="85" zoomScaleSheetLayoutView="85" zoomScalePageLayoutView="0" workbookViewId="0" topLeftCell="A1">
      <selection activeCell="B8" sqref="B8:K19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779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1" ht="22.5">
      <c r="B12" s="339">
        <v>68325</v>
      </c>
      <c r="C12" s="340" t="s">
        <v>17</v>
      </c>
      <c r="D12" s="339" t="s">
        <v>778</v>
      </c>
      <c r="E12" s="340" t="s">
        <v>19</v>
      </c>
      <c r="F12" s="340">
        <v>1</v>
      </c>
      <c r="G12" s="341">
        <v>27.64</v>
      </c>
      <c r="H12" s="342">
        <v>82.94</v>
      </c>
      <c r="I12" s="342">
        <f>F12*G12</f>
        <v>27.64</v>
      </c>
      <c r="J12" s="342">
        <f>F12*H12</f>
        <v>82.94</v>
      </c>
      <c r="K12" s="343">
        <f>I12+J12</f>
        <v>110.58</v>
      </c>
    </row>
    <row r="13" spans="2:11" ht="36.75" customHeight="1">
      <c r="B13" s="339">
        <v>92794</v>
      </c>
      <c r="C13" s="344" t="s">
        <v>17</v>
      </c>
      <c r="D13" s="339" t="s">
        <v>777</v>
      </c>
      <c r="E13" s="340" t="s">
        <v>22</v>
      </c>
      <c r="F13" s="345">
        <v>10</v>
      </c>
      <c r="G13" s="341">
        <v>1.84</v>
      </c>
      <c r="H13" s="342">
        <v>5.53</v>
      </c>
      <c r="I13" s="342">
        <f>F13*G13</f>
        <v>18.400000000000002</v>
      </c>
      <c r="J13" s="342">
        <f>F13*H13</f>
        <v>55.300000000000004</v>
      </c>
      <c r="K13" s="343">
        <f>I13+J13</f>
        <v>73.7</v>
      </c>
    </row>
    <row r="14" spans="2:11" ht="12.75">
      <c r="B14" s="346"/>
      <c r="C14" s="347"/>
      <c r="D14" s="348" t="s">
        <v>6</v>
      </c>
      <c r="E14" s="349"/>
      <c r="F14" s="349"/>
      <c r="G14" s="342"/>
      <c r="H14" s="342"/>
      <c r="I14" s="342"/>
      <c r="J14" s="342"/>
      <c r="K14" s="343">
        <f>SUM(K12:K13)</f>
        <v>184.28</v>
      </c>
    </row>
    <row r="15" spans="2:11" ht="12.75">
      <c r="B15" s="350"/>
      <c r="C15" s="351"/>
      <c r="D15" s="351"/>
      <c r="E15" s="351"/>
      <c r="F15" s="351"/>
      <c r="G15" s="352"/>
      <c r="H15" s="352"/>
      <c r="I15" s="352"/>
      <c r="J15" s="352"/>
      <c r="K15" s="353"/>
    </row>
    <row r="16" spans="2:11" ht="12.75">
      <c r="B16" s="350"/>
      <c r="C16" s="351"/>
      <c r="D16" s="351" t="s">
        <v>89</v>
      </c>
      <c r="E16" s="351"/>
      <c r="F16" s="351"/>
      <c r="G16" s="352"/>
      <c r="H16" s="352"/>
      <c r="I16" s="354" t="s">
        <v>44</v>
      </c>
      <c r="J16" s="354"/>
      <c r="K16" s="355">
        <f>SUM(I12:I13)</f>
        <v>46.040000000000006</v>
      </c>
    </row>
    <row r="17" spans="2:11" ht="13.5" thickBot="1">
      <c r="B17" s="356"/>
      <c r="C17" s="357"/>
      <c r="D17" s="358"/>
      <c r="E17" s="358"/>
      <c r="F17" s="358"/>
      <c r="G17" s="359"/>
      <c r="H17" s="359"/>
      <c r="I17" s="360" t="s">
        <v>26</v>
      </c>
      <c r="J17" s="360"/>
      <c r="K17" s="361">
        <f>SUM(J12:J13)</f>
        <v>138.24</v>
      </c>
    </row>
    <row r="18" spans="2:11" ht="12.75">
      <c r="B18" s="332"/>
      <c r="C18" s="332"/>
      <c r="D18" s="362"/>
      <c r="E18" s="362"/>
      <c r="F18" s="362"/>
      <c r="G18" s="363"/>
      <c r="H18" s="363"/>
      <c r="I18" s="364" t="s">
        <v>6</v>
      </c>
      <c r="J18" s="364"/>
      <c r="K18" s="364">
        <f>SUM(K16:K17)</f>
        <v>184.28000000000003</v>
      </c>
    </row>
    <row r="19" spans="2:11" ht="12.75">
      <c r="B19" s="332"/>
      <c r="C19" s="332"/>
      <c r="D19" s="332"/>
      <c r="E19" s="332"/>
      <c r="F19" s="332"/>
      <c r="G19" s="332"/>
      <c r="H19" s="332"/>
      <c r="I19" s="332"/>
      <c r="J19" s="332"/>
      <c r="K19" s="332"/>
    </row>
    <row r="22" spans="7:8" ht="12.75" hidden="1">
      <c r="G22" t="s">
        <v>23</v>
      </c>
      <c r="H22" t="s">
        <v>24</v>
      </c>
    </row>
    <row r="23" spans="7:8" ht="12.75" hidden="1">
      <c r="G23">
        <v>27</v>
      </c>
      <c r="H23">
        <v>25</v>
      </c>
    </row>
  </sheetData>
  <sheetProtection/>
  <mergeCells count="1">
    <mergeCell ref="B9:K9"/>
  </mergeCells>
  <conditionalFormatting sqref="E12:G12">
    <cfRule type="expression" priority="7" dxfId="0" stopIfTrue="1">
      <formula>$K12=1</formula>
    </cfRule>
  </conditionalFormatting>
  <conditionalFormatting sqref="C12">
    <cfRule type="expression" priority="6" dxfId="0" stopIfTrue="1">
      <formula>$K12=1</formula>
    </cfRule>
  </conditionalFormatting>
  <conditionalFormatting sqref="G13">
    <cfRule type="expression" priority="5" dxfId="0" stopIfTrue="1">
      <formula>$K13=1</formula>
    </cfRule>
  </conditionalFormatting>
  <conditionalFormatting sqref="E13">
    <cfRule type="expression" priority="1" dxfId="0" stopIfTrue="1">
      <formula>$K13=1</formula>
    </cfRule>
  </conditionalFormatting>
  <conditionalFormatting sqref="C13">
    <cfRule type="expression" priority="8" dxfId="0" stopIfTrue="1">
      <formula>'COMP.4'!#REF!=1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6"/>
  <sheetViews>
    <sheetView view="pageBreakPreview" zoomScale="85" zoomScaleNormal="85" zoomScaleSheetLayoutView="85" zoomScalePageLayoutView="0" workbookViewId="0" topLeftCell="A1">
      <selection activeCell="B8" sqref="B8:K23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780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1" ht="22.5">
      <c r="B12" s="339">
        <v>1327</v>
      </c>
      <c r="C12" s="340" t="s">
        <v>51</v>
      </c>
      <c r="D12" s="339" t="s">
        <v>35</v>
      </c>
      <c r="E12" s="340" t="s">
        <v>22</v>
      </c>
      <c r="F12" s="340">
        <v>23.9</v>
      </c>
      <c r="G12" s="341">
        <v>1.075</v>
      </c>
      <c r="H12" s="342">
        <v>3.2249999999999996</v>
      </c>
      <c r="I12" s="342">
        <f>F12*G12</f>
        <v>25.6925</v>
      </c>
      <c r="J12" s="342">
        <f>F12*H12</f>
        <v>77.07749999999999</v>
      </c>
      <c r="K12" s="343">
        <f>I12+J12</f>
        <v>102.76999999999998</v>
      </c>
    </row>
    <row r="13" spans="2:11" ht="36.75" customHeight="1">
      <c r="B13" s="339" t="s">
        <v>36</v>
      </c>
      <c r="C13" s="344" t="s">
        <v>17</v>
      </c>
      <c r="D13" s="339" t="s">
        <v>37</v>
      </c>
      <c r="E13" s="340" t="s">
        <v>25</v>
      </c>
      <c r="F13" s="345">
        <v>2</v>
      </c>
      <c r="G13" s="341">
        <v>3.6125</v>
      </c>
      <c r="H13" s="342">
        <v>10.837499999999999</v>
      </c>
      <c r="I13" s="342">
        <f>F13*G13</f>
        <v>7.225</v>
      </c>
      <c r="J13" s="342">
        <f>F13*H13</f>
        <v>21.674999999999997</v>
      </c>
      <c r="K13" s="343">
        <f>I13+J13</f>
        <v>28.9</v>
      </c>
    </row>
    <row r="14" spans="2:11" ht="47.25" customHeight="1">
      <c r="B14" s="339">
        <v>11977</v>
      </c>
      <c r="C14" s="344" t="s">
        <v>17</v>
      </c>
      <c r="D14" s="339" t="s">
        <v>38</v>
      </c>
      <c r="E14" s="365" t="s">
        <v>1</v>
      </c>
      <c r="F14" s="365">
        <v>8</v>
      </c>
      <c r="G14" s="341">
        <v>0.89</v>
      </c>
      <c r="H14" s="342">
        <v>2.67</v>
      </c>
      <c r="I14" s="342">
        <f>F14*G14</f>
        <v>7.12</v>
      </c>
      <c r="J14" s="342">
        <f>F14*H14</f>
        <v>21.36</v>
      </c>
      <c r="K14" s="343">
        <f>I14+J14</f>
        <v>28.48</v>
      </c>
    </row>
    <row r="15" spans="2:11" ht="22.5">
      <c r="B15" s="339" t="s">
        <v>39</v>
      </c>
      <c r="C15" s="344" t="s">
        <v>17</v>
      </c>
      <c r="D15" s="339" t="s">
        <v>40</v>
      </c>
      <c r="E15" s="365" t="s">
        <v>19</v>
      </c>
      <c r="F15" s="365">
        <v>0.0576</v>
      </c>
      <c r="G15" s="341">
        <v>4.2625</v>
      </c>
      <c r="H15" s="342">
        <v>12.787500000000001</v>
      </c>
      <c r="I15" s="342">
        <f>F15*G15</f>
        <v>0.24552000000000002</v>
      </c>
      <c r="J15" s="342">
        <f>F15*H15</f>
        <v>0.7365600000000001</v>
      </c>
      <c r="K15" s="343">
        <f>I15+J15</f>
        <v>0.9820800000000001</v>
      </c>
    </row>
    <row r="16" spans="2:11" ht="22.5">
      <c r="B16" s="339" t="s">
        <v>41</v>
      </c>
      <c r="C16" s="340" t="s">
        <v>17</v>
      </c>
      <c r="D16" s="339" t="s">
        <v>42</v>
      </c>
      <c r="E16" s="340" t="s">
        <v>19</v>
      </c>
      <c r="F16" s="340">
        <v>0.0576</v>
      </c>
      <c r="G16" s="341">
        <v>5.7025</v>
      </c>
      <c r="H16" s="342">
        <v>17.107499999999998</v>
      </c>
      <c r="I16" s="342">
        <f>F16*G16</f>
        <v>0.328464</v>
      </c>
      <c r="J16" s="342">
        <f>F16*H16</f>
        <v>0.9853919999999998</v>
      </c>
      <c r="K16" s="343">
        <f>I16+J16</f>
        <v>1.313856</v>
      </c>
    </row>
    <row r="17" spans="2:11" ht="12.75">
      <c r="B17" s="346"/>
      <c r="C17" s="347"/>
      <c r="D17" s="348" t="s">
        <v>6</v>
      </c>
      <c r="E17" s="349"/>
      <c r="F17" s="349"/>
      <c r="G17" s="342"/>
      <c r="H17" s="342"/>
      <c r="I17" s="342"/>
      <c r="J17" s="342"/>
      <c r="K17" s="343">
        <f>SUM(K12:K16)</f>
        <v>162.44593599999996</v>
      </c>
    </row>
    <row r="18" spans="2:11" ht="12.75">
      <c r="B18" s="350"/>
      <c r="C18" s="351"/>
      <c r="D18" s="351"/>
      <c r="E18" s="351"/>
      <c r="F18" s="351"/>
      <c r="G18" s="352"/>
      <c r="H18" s="352"/>
      <c r="I18" s="352"/>
      <c r="J18" s="352"/>
      <c r="K18" s="353"/>
    </row>
    <row r="19" spans="2:11" ht="12.75">
      <c r="B19" s="350"/>
      <c r="C19" s="351"/>
      <c r="D19" s="351" t="s">
        <v>89</v>
      </c>
      <c r="E19" s="351"/>
      <c r="F19" s="351"/>
      <c r="G19" s="352"/>
      <c r="H19" s="352"/>
      <c r="I19" s="354" t="s">
        <v>44</v>
      </c>
      <c r="J19" s="354"/>
      <c r="K19" s="355">
        <f>SUM(I12:I16)</f>
        <v>40.61148399999999</v>
      </c>
    </row>
    <row r="20" spans="2:11" ht="13.5" thickBot="1">
      <c r="B20" s="356"/>
      <c r="C20" s="357"/>
      <c r="D20" s="358"/>
      <c r="E20" s="358"/>
      <c r="F20" s="358"/>
      <c r="G20" s="359"/>
      <c r="H20" s="359"/>
      <c r="I20" s="360" t="s">
        <v>26</v>
      </c>
      <c r="J20" s="360"/>
      <c r="K20" s="361">
        <f>SUM(J12:J16)</f>
        <v>121.83445199999998</v>
      </c>
    </row>
    <row r="21" spans="2:11" ht="12.75">
      <c r="B21" s="332"/>
      <c r="C21" s="332"/>
      <c r="D21" s="362"/>
      <c r="E21" s="362"/>
      <c r="F21" s="362"/>
      <c r="G21" s="363"/>
      <c r="H21" s="363"/>
      <c r="I21" s="364" t="s">
        <v>6</v>
      </c>
      <c r="J21" s="364"/>
      <c r="K21" s="364">
        <f>SUM(K19:K20)</f>
        <v>162.44593599999996</v>
      </c>
    </row>
    <row r="22" spans="2:11" ht="12.75">
      <c r="B22" s="332"/>
      <c r="C22" s="332"/>
      <c r="D22" s="332"/>
      <c r="E22" s="332"/>
      <c r="F22" s="332"/>
      <c r="G22" s="332"/>
      <c r="H22" s="332"/>
      <c r="I22" s="332"/>
      <c r="J22" s="332"/>
      <c r="K22" s="332"/>
    </row>
    <row r="23" spans="2:11" ht="12.75">
      <c r="B23" s="332"/>
      <c r="C23" s="332"/>
      <c r="D23" s="332"/>
      <c r="E23" s="332"/>
      <c r="F23" s="332"/>
      <c r="G23" s="332"/>
      <c r="H23" s="332"/>
      <c r="I23" s="332"/>
      <c r="J23" s="332"/>
      <c r="K23" s="332"/>
    </row>
    <row r="25" spans="7:8" ht="12.75" hidden="1">
      <c r="G25" t="s">
        <v>23</v>
      </c>
      <c r="H25" t="s">
        <v>24</v>
      </c>
    </row>
    <row r="26" spans="7:8" ht="12.75" hidden="1">
      <c r="G26">
        <v>27</v>
      </c>
      <c r="H26">
        <v>25</v>
      </c>
    </row>
  </sheetData>
  <sheetProtection/>
  <mergeCells count="1">
    <mergeCell ref="B9:K9"/>
  </mergeCells>
  <conditionalFormatting sqref="C16 E12:G12 E16:F16">
    <cfRule type="expression" priority="7" dxfId="0" stopIfTrue="1">
      <formula>$K12=1</formula>
    </cfRule>
  </conditionalFormatting>
  <conditionalFormatting sqref="C12">
    <cfRule type="expression" priority="6" dxfId="0" stopIfTrue="1">
      <formula>$K12=1</formula>
    </cfRule>
  </conditionalFormatting>
  <conditionalFormatting sqref="G13">
    <cfRule type="expression" priority="5" dxfId="0" stopIfTrue="1">
      <formula>$K13=1</formula>
    </cfRule>
  </conditionalFormatting>
  <conditionalFormatting sqref="G14">
    <cfRule type="expression" priority="4" dxfId="0" stopIfTrue="1">
      <formula>$K14=1</formula>
    </cfRule>
  </conditionalFormatting>
  <conditionalFormatting sqref="G15">
    <cfRule type="expression" priority="3" dxfId="0" stopIfTrue="1">
      <formula>$K15=1</formula>
    </cfRule>
  </conditionalFormatting>
  <conditionalFormatting sqref="G16">
    <cfRule type="expression" priority="2" dxfId="0" stopIfTrue="1">
      <formula>$K16=1</formula>
    </cfRule>
  </conditionalFormatting>
  <conditionalFormatting sqref="E13">
    <cfRule type="expression" priority="1" dxfId="0" stopIfTrue="1">
      <formula>$K13=1</formula>
    </cfRule>
  </conditionalFormatting>
  <conditionalFormatting sqref="C13:C15">
    <cfRule type="expression" priority="8" dxfId="0" stopIfTrue="1">
      <formula>'COMP.5'!#REF!=1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6"/>
  <sheetViews>
    <sheetView view="pageBreakPreview" zoomScale="85" zoomScaleNormal="85" zoomScaleSheetLayoutView="85" zoomScalePageLayoutView="0" workbookViewId="0" topLeftCell="A1">
      <selection activeCell="B8" sqref="B8:K23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47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1" ht="12.75">
      <c r="B12" s="339"/>
      <c r="C12" s="340" t="s">
        <v>17</v>
      </c>
      <c r="D12" s="339" t="s">
        <v>45</v>
      </c>
      <c r="E12" s="340" t="s">
        <v>22</v>
      </c>
      <c r="F12" s="340">
        <f>13.6*4.96</f>
        <v>67.456</v>
      </c>
      <c r="G12" s="341">
        <f>4.35*0.25</f>
        <v>1.0875</v>
      </c>
      <c r="H12" s="342">
        <f>4.35*0.75</f>
        <v>3.2624999999999997</v>
      </c>
      <c r="I12" s="342">
        <f>F12*G12</f>
        <v>73.3584</v>
      </c>
      <c r="J12" s="342">
        <f>F12*H12</f>
        <v>220.0752</v>
      </c>
      <c r="K12" s="343">
        <f>I12+J12</f>
        <v>293.4336</v>
      </c>
    </row>
    <row r="13" spans="2:11" ht="36.75" customHeight="1">
      <c r="B13" s="339"/>
      <c r="C13" s="344" t="s">
        <v>17</v>
      </c>
      <c r="D13" s="339" t="s">
        <v>46</v>
      </c>
      <c r="E13" s="340" t="s">
        <v>22</v>
      </c>
      <c r="F13" s="345">
        <f>9.97*4.15</f>
        <v>41.37550000000001</v>
      </c>
      <c r="G13" s="341">
        <f>4.35*0.25</f>
        <v>1.0875</v>
      </c>
      <c r="H13" s="342">
        <f>4.35*0.75</f>
        <v>3.2624999999999997</v>
      </c>
      <c r="I13" s="342">
        <f>F13*G13</f>
        <v>44.99585625000001</v>
      </c>
      <c r="J13" s="342">
        <f>F13*H13</f>
        <v>134.98756875</v>
      </c>
      <c r="K13" s="343">
        <f>I13+J13</f>
        <v>179.983425</v>
      </c>
    </row>
    <row r="14" spans="2:11" ht="47.25" customHeight="1">
      <c r="B14" s="339" t="s">
        <v>36</v>
      </c>
      <c r="C14" s="344" t="s">
        <v>17</v>
      </c>
      <c r="D14" s="339" t="s">
        <v>37</v>
      </c>
      <c r="E14" s="365" t="s">
        <v>25</v>
      </c>
      <c r="F14" s="365">
        <v>6</v>
      </c>
      <c r="G14" s="341">
        <f>15.69*0.25</f>
        <v>3.9225</v>
      </c>
      <c r="H14" s="342">
        <f>15.69*0.75</f>
        <v>11.7675</v>
      </c>
      <c r="I14" s="342">
        <f>F14*G14</f>
        <v>23.535</v>
      </c>
      <c r="J14" s="342">
        <f>F14*H14</f>
        <v>70.605</v>
      </c>
      <c r="K14" s="343">
        <f>I14+J14</f>
        <v>94.14</v>
      </c>
    </row>
    <row r="15" spans="2:11" ht="22.5">
      <c r="B15" s="339" t="s">
        <v>39</v>
      </c>
      <c r="C15" s="344" t="s">
        <v>17</v>
      </c>
      <c r="D15" s="339" t="s">
        <v>40</v>
      </c>
      <c r="E15" s="365" t="s">
        <v>19</v>
      </c>
      <c r="F15" s="365">
        <f>(13.6*(2*(0.05+0.15+0.05)))+(9.97*(2*(0.035+0.14+0.035)))</f>
        <v>10.987400000000001</v>
      </c>
      <c r="G15" s="341">
        <f>16.95*0.25</f>
        <v>4.2375</v>
      </c>
      <c r="H15" s="342">
        <f>16.95*0.75</f>
        <v>12.712499999999999</v>
      </c>
      <c r="I15" s="342">
        <f>F15*G15</f>
        <v>46.5591075</v>
      </c>
      <c r="J15" s="342">
        <f>F15*H15</f>
        <v>139.6773225</v>
      </c>
      <c r="K15" s="343">
        <f>I15+J15</f>
        <v>186.23643</v>
      </c>
    </row>
    <row r="16" spans="2:11" ht="22.5">
      <c r="B16" s="339" t="s">
        <v>41</v>
      </c>
      <c r="C16" s="340" t="s">
        <v>17</v>
      </c>
      <c r="D16" s="339" t="s">
        <v>42</v>
      </c>
      <c r="E16" s="340" t="s">
        <v>19</v>
      </c>
      <c r="F16" s="340">
        <f>(13.6*(2*(0.05+0.15+0.05)))+(9.97*(2*(0.035+0.14+0.035)))</f>
        <v>10.987400000000001</v>
      </c>
      <c r="G16" s="341">
        <f>22.68*0.25</f>
        <v>5.67</v>
      </c>
      <c r="H16" s="342">
        <f>22.68*0.75</f>
        <v>17.009999999999998</v>
      </c>
      <c r="I16" s="342">
        <f>F16*G16</f>
        <v>62.29855800000001</v>
      </c>
      <c r="J16" s="342">
        <f>F16*H16</f>
        <v>186.89567399999999</v>
      </c>
      <c r="K16" s="343">
        <f>I16+J16</f>
        <v>249.194232</v>
      </c>
    </row>
    <row r="17" spans="2:11" ht="12.75">
      <c r="B17" s="346"/>
      <c r="C17" s="347"/>
      <c r="D17" s="348" t="s">
        <v>6</v>
      </c>
      <c r="E17" s="349"/>
      <c r="F17" s="349"/>
      <c r="G17" s="342"/>
      <c r="H17" s="342"/>
      <c r="I17" s="342"/>
      <c r="J17" s="342"/>
      <c r="K17" s="343">
        <f>SUM(K12:K16)</f>
        <v>1002.987687</v>
      </c>
    </row>
    <row r="18" spans="2:11" ht="12.75">
      <c r="B18" s="350"/>
      <c r="C18" s="351"/>
      <c r="D18" s="351"/>
      <c r="E18" s="351"/>
      <c r="F18" s="351"/>
      <c r="G18" s="352"/>
      <c r="H18" s="352"/>
      <c r="I18" s="352"/>
      <c r="J18" s="352"/>
      <c r="K18" s="353"/>
    </row>
    <row r="19" spans="2:11" ht="12.75">
      <c r="B19" s="350"/>
      <c r="C19" s="351"/>
      <c r="D19" s="351" t="s">
        <v>89</v>
      </c>
      <c r="E19" s="351"/>
      <c r="F19" s="351"/>
      <c r="G19" s="352"/>
      <c r="H19" s="352"/>
      <c r="I19" s="354" t="s">
        <v>44</v>
      </c>
      <c r="J19" s="354"/>
      <c r="K19" s="355">
        <f>SUM(I12:I16)</f>
        <v>250.74692175000004</v>
      </c>
    </row>
    <row r="20" spans="2:11" ht="13.5" thickBot="1">
      <c r="B20" s="356"/>
      <c r="C20" s="357"/>
      <c r="D20" s="358"/>
      <c r="E20" s="358"/>
      <c r="F20" s="358"/>
      <c r="G20" s="359"/>
      <c r="H20" s="359"/>
      <c r="I20" s="360" t="s">
        <v>26</v>
      </c>
      <c r="J20" s="360"/>
      <c r="K20" s="361">
        <f>SUM(J12:J16)</f>
        <v>752.24076525</v>
      </c>
    </row>
    <row r="21" spans="2:11" ht="12.75">
      <c r="B21" s="332"/>
      <c r="C21" s="332"/>
      <c r="D21" s="362"/>
      <c r="E21" s="362"/>
      <c r="F21" s="362"/>
      <c r="G21" s="363"/>
      <c r="H21" s="363"/>
      <c r="I21" s="364" t="s">
        <v>6</v>
      </c>
      <c r="J21" s="364"/>
      <c r="K21" s="364">
        <f>SUM(K19:K20)</f>
        <v>1002.987687</v>
      </c>
    </row>
    <row r="22" spans="2:11" ht="12.75">
      <c r="B22" s="332"/>
      <c r="C22" s="332"/>
      <c r="D22" s="332"/>
      <c r="E22" s="332"/>
      <c r="F22" s="332"/>
      <c r="G22" s="332"/>
      <c r="H22" s="332"/>
      <c r="I22" s="332"/>
      <c r="J22" s="332"/>
      <c r="K22" s="332"/>
    </row>
    <row r="23" spans="2:11" ht="12.75">
      <c r="B23" s="332"/>
      <c r="C23" s="332"/>
      <c r="D23" s="332"/>
      <c r="E23" s="332"/>
      <c r="F23" s="332"/>
      <c r="G23" s="332"/>
      <c r="H23" s="332"/>
      <c r="I23" s="332"/>
      <c r="J23" s="332"/>
      <c r="K23" s="332"/>
    </row>
    <row r="25" spans="7:8" ht="12.75" hidden="1">
      <c r="G25" t="s">
        <v>23</v>
      </c>
      <c r="H25" t="s">
        <v>24</v>
      </c>
    </row>
    <row r="26" spans="7:8" ht="12.75" hidden="1">
      <c r="G26">
        <v>27</v>
      </c>
      <c r="H26">
        <v>25</v>
      </c>
    </row>
  </sheetData>
  <sheetProtection/>
  <mergeCells count="1">
    <mergeCell ref="B9:K9"/>
  </mergeCells>
  <conditionalFormatting sqref="C16 E12:G12 E16:F16">
    <cfRule type="expression" priority="12" dxfId="0" stopIfTrue="1">
      <formula>$K12=1</formula>
    </cfRule>
  </conditionalFormatting>
  <conditionalFormatting sqref="C12">
    <cfRule type="expression" priority="11" dxfId="0" stopIfTrue="1">
      <formula>$K12=1</formula>
    </cfRule>
  </conditionalFormatting>
  <conditionalFormatting sqref="G13">
    <cfRule type="expression" priority="5" dxfId="0" stopIfTrue="1">
      <formula>$K13=1</formula>
    </cfRule>
  </conditionalFormatting>
  <conditionalFormatting sqref="G14">
    <cfRule type="expression" priority="4" dxfId="0" stopIfTrue="1">
      <formula>$K14=1</formula>
    </cfRule>
  </conditionalFormatting>
  <conditionalFormatting sqref="G15">
    <cfRule type="expression" priority="3" dxfId="0" stopIfTrue="1">
      <formula>$K15=1</formula>
    </cfRule>
  </conditionalFormatting>
  <conditionalFormatting sqref="G16">
    <cfRule type="expression" priority="2" dxfId="0" stopIfTrue="1">
      <formula>$K16=1</formula>
    </cfRule>
  </conditionalFormatting>
  <conditionalFormatting sqref="E13">
    <cfRule type="expression" priority="1" dxfId="0" stopIfTrue="1">
      <formula>$K13=1</formula>
    </cfRule>
  </conditionalFormatting>
  <conditionalFormatting sqref="C13:C15">
    <cfRule type="expression" priority="282" dxfId="0" stopIfTrue="1">
      <formula>'COMP.6'!#REF!=1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6"/>
  <sheetViews>
    <sheetView view="pageBreakPreview" zoomScale="85" zoomScaleNormal="85" zoomScaleSheetLayoutView="85" zoomScalePageLayoutView="0" workbookViewId="0" topLeftCell="A1">
      <selection activeCell="B8" sqref="B8:K23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9.57421875" style="0" customWidth="1"/>
    <col min="4" max="4" width="40.421875" style="0" customWidth="1"/>
    <col min="5" max="6" width="10.00390625" style="0" customWidth="1"/>
    <col min="7" max="11" width="13.00390625" style="0" customWidth="1"/>
    <col min="12" max="12" width="3.7109375" style="0" customWidth="1"/>
  </cols>
  <sheetData>
    <row r="4" spans="2:6" ht="15.75">
      <c r="B4" s="17" t="s">
        <v>28</v>
      </c>
      <c r="C4" s="18"/>
      <c r="D4" s="4"/>
      <c r="E4" s="6"/>
      <c r="F4" s="6"/>
    </row>
    <row r="5" spans="2:6" ht="15.75">
      <c r="B5" s="19" t="s">
        <v>29</v>
      </c>
      <c r="C5" s="18"/>
      <c r="D5" s="4"/>
      <c r="E5" s="6"/>
      <c r="F5" s="6"/>
    </row>
    <row r="6" spans="2:6" ht="15.75">
      <c r="B6" s="19" t="s">
        <v>30</v>
      </c>
      <c r="C6" s="18"/>
      <c r="D6" s="4"/>
      <c r="E6" s="6"/>
      <c r="F6" s="6"/>
    </row>
    <row r="7" spans="2:6" ht="15.75">
      <c r="B7" s="20" t="s">
        <v>31</v>
      </c>
      <c r="C7" s="21"/>
      <c r="D7" s="4"/>
      <c r="E7" s="6"/>
      <c r="F7" s="6"/>
    </row>
    <row r="8" spans="2:11" ht="13.5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2:11" ht="12.75">
      <c r="B9" s="398" t="s">
        <v>50</v>
      </c>
      <c r="C9" s="399"/>
      <c r="D9" s="399"/>
      <c r="E9" s="399"/>
      <c r="F9" s="399"/>
      <c r="G9" s="399"/>
      <c r="H9" s="399"/>
      <c r="I9" s="399"/>
      <c r="J9" s="399"/>
      <c r="K9" s="400"/>
    </row>
    <row r="10" spans="2:11" ht="12.75">
      <c r="B10" s="333"/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22.5">
      <c r="B11" s="336" t="s">
        <v>20</v>
      </c>
      <c r="C11" s="337" t="s">
        <v>18</v>
      </c>
      <c r="D11" s="337" t="s">
        <v>0</v>
      </c>
      <c r="E11" s="337" t="s">
        <v>21</v>
      </c>
      <c r="F11" s="337" t="s">
        <v>43</v>
      </c>
      <c r="G11" s="337" t="s">
        <v>53</v>
      </c>
      <c r="H11" s="337" t="s">
        <v>54</v>
      </c>
      <c r="I11" s="337" t="s">
        <v>55</v>
      </c>
      <c r="J11" s="337" t="s">
        <v>56</v>
      </c>
      <c r="K11" s="338" t="s">
        <v>6</v>
      </c>
    </row>
    <row r="12" spans="2:11" ht="12.75">
      <c r="B12" s="339"/>
      <c r="C12" s="340" t="s">
        <v>17</v>
      </c>
      <c r="D12" s="339" t="s">
        <v>48</v>
      </c>
      <c r="E12" s="340" t="s">
        <v>22</v>
      </c>
      <c r="F12" s="366">
        <f>((31.74*2)+34.68)*2.57</f>
        <v>252.27119999999996</v>
      </c>
      <c r="G12" s="341">
        <f>4.9*0.25</f>
        <v>1.225</v>
      </c>
      <c r="H12" s="342">
        <f>4.9*0.75</f>
        <v>3.6750000000000003</v>
      </c>
      <c r="I12" s="342">
        <f>F12*G12</f>
        <v>309.03222</v>
      </c>
      <c r="J12" s="342">
        <f>F12*H12</f>
        <v>927.0966599999999</v>
      </c>
      <c r="K12" s="343">
        <f>I12+J12</f>
        <v>1236.12888</v>
      </c>
    </row>
    <row r="13" spans="2:11" ht="36.75" customHeight="1">
      <c r="B13" s="339"/>
      <c r="C13" s="344" t="s">
        <v>17</v>
      </c>
      <c r="D13" s="339" t="s">
        <v>49</v>
      </c>
      <c r="E13" s="340" t="s">
        <v>22</v>
      </c>
      <c r="F13" s="345">
        <f>((26.82*2)+44.7)*2.61</f>
        <v>256.6674</v>
      </c>
      <c r="G13" s="341">
        <f>4.35*0.25</f>
        <v>1.0875</v>
      </c>
      <c r="H13" s="342">
        <f>4.35*0.75</f>
        <v>3.2624999999999997</v>
      </c>
      <c r="I13" s="342">
        <f>F13*G13</f>
        <v>279.1257975</v>
      </c>
      <c r="J13" s="342">
        <f>F13*H13</f>
        <v>837.3773924999999</v>
      </c>
      <c r="K13" s="343">
        <f>I13+J13</f>
        <v>1116.50319</v>
      </c>
    </row>
    <row r="14" spans="2:11" ht="47.25" customHeight="1">
      <c r="B14" s="339" t="s">
        <v>36</v>
      </c>
      <c r="C14" s="344" t="s">
        <v>17</v>
      </c>
      <c r="D14" s="339" t="s">
        <v>37</v>
      </c>
      <c r="E14" s="365" t="s">
        <v>25</v>
      </c>
      <c r="F14" s="365">
        <v>6</v>
      </c>
      <c r="G14" s="341">
        <f>15.69*0.25</f>
        <v>3.9225</v>
      </c>
      <c r="H14" s="342">
        <f>15.69*0.75</f>
        <v>11.7675</v>
      </c>
      <c r="I14" s="342">
        <f>F14*G14</f>
        <v>23.535</v>
      </c>
      <c r="J14" s="342">
        <f>F14*H14</f>
        <v>70.605</v>
      </c>
      <c r="K14" s="343">
        <f>I14+J14</f>
        <v>94.14</v>
      </c>
    </row>
    <row r="15" spans="2:11" ht="22.5">
      <c r="B15" s="339" t="s">
        <v>39</v>
      </c>
      <c r="C15" s="344" t="s">
        <v>17</v>
      </c>
      <c r="D15" s="339" t="s">
        <v>40</v>
      </c>
      <c r="E15" s="365" t="s">
        <v>19</v>
      </c>
      <c r="F15" s="345">
        <f>(((31.74*2)+34.68)+((26.82*2)+44.7))*0.356</f>
        <v>69.954</v>
      </c>
      <c r="G15" s="341">
        <f>16.95*0.25</f>
        <v>4.2375</v>
      </c>
      <c r="H15" s="342">
        <f>16.95*0.75</f>
        <v>12.712499999999999</v>
      </c>
      <c r="I15" s="342">
        <f>F15*G15</f>
        <v>296.430075</v>
      </c>
      <c r="J15" s="342">
        <f>F15*H15</f>
        <v>889.2902249999999</v>
      </c>
      <c r="K15" s="343">
        <f>I15+J15</f>
        <v>1185.7203</v>
      </c>
    </row>
    <row r="16" spans="2:11" ht="22.5">
      <c r="B16" s="339" t="s">
        <v>41</v>
      </c>
      <c r="C16" s="340" t="s">
        <v>17</v>
      </c>
      <c r="D16" s="339" t="s">
        <v>42</v>
      </c>
      <c r="E16" s="340" t="s">
        <v>19</v>
      </c>
      <c r="F16" s="366">
        <f>(((31.74*2)+34.68)+((26.82*2)+44.7))*0.312</f>
        <v>61.308</v>
      </c>
      <c r="G16" s="341">
        <f>22.68*0.25</f>
        <v>5.67</v>
      </c>
      <c r="H16" s="342">
        <f>22.68*0.75</f>
        <v>17.009999999999998</v>
      </c>
      <c r="I16" s="342">
        <f>F16*G16</f>
        <v>347.61636</v>
      </c>
      <c r="J16" s="342">
        <f>F16*H16</f>
        <v>1042.84908</v>
      </c>
      <c r="K16" s="343">
        <f>I16+J16</f>
        <v>1390.46544</v>
      </c>
    </row>
    <row r="17" spans="2:11" ht="12.75">
      <c r="B17" s="346"/>
      <c r="C17" s="347"/>
      <c r="D17" s="348" t="s">
        <v>6</v>
      </c>
      <c r="E17" s="349"/>
      <c r="F17" s="349"/>
      <c r="G17" s="342"/>
      <c r="H17" s="342"/>
      <c r="I17" s="342"/>
      <c r="J17" s="342"/>
      <c r="K17" s="343">
        <f>SUM(K12:K16)</f>
        <v>5022.95781</v>
      </c>
    </row>
    <row r="18" spans="2:11" ht="12.75">
      <c r="B18" s="350"/>
      <c r="C18" s="351"/>
      <c r="D18" s="351"/>
      <c r="E18" s="351"/>
      <c r="F18" s="351"/>
      <c r="G18" s="352"/>
      <c r="H18" s="352"/>
      <c r="I18" s="352"/>
      <c r="J18" s="352"/>
      <c r="K18" s="353"/>
    </row>
    <row r="19" spans="2:11" ht="12.75">
      <c r="B19" s="350"/>
      <c r="C19" s="351"/>
      <c r="D19" s="351" t="str">
        <f>'COMP.6'!D19</f>
        <v>Augusto Pestana, 22 de janeiro de 2018.</v>
      </c>
      <c r="E19" s="351"/>
      <c r="F19" s="351"/>
      <c r="G19" s="352"/>
      <c r="H19" s="352"/>
      <c r="I19" s="354" t="s">
        <v>44</v>
      </c>
      <c r="J19" s="354"/>
      <c r="K19" s="355">
        <f>SUM(I12:I16)</f>
        <v>1255.7394525</v>
      </c>
    </row>
    <row r="20" spans="2:11" ht="13.5" thickBot="1">
      <c r="B20" s="356"/>
      <c r="C20" s="357"/>
      <c r="D20" s="358"/>
      <c r="E20" s="358"/>
      <c r="F20" s="358"/>
      <c r="G20" s="359"/>
      <c r="H20" s="359"/>
      <c r="I20" s="360" t="s">
        <v>26</v>
      </c>
      <c r="J20" s="360"/>
      <c r="K20" s="361">
        <f>SUM(J12:J16)</f>
        <v>3767.2183574999995</v>
      </c>
    </row>
    <row r="21" spans="2:11" ht="12.75">
      <c r="B21" s="332"/>
      <c r="C21" s="332"/>
      <c r="D21" s="362"/>
      <c r="E21" s="362"/>
      <c r="F21" s="362"/>
      <c r="G21" s="363"/>
      <c r="H21" s="363"/>
      <c r="I21" s="364" t="s">
        <v>6</v>
      </c>
      <c r="J21" s="364"/>
      <c r="K21" s="364">
        <f>SUM(K19:K20)</f>
        <v>5022.95781</v>
      </c>
    </row>
    <row r="22" spans="2:11" ht="12.75">
      <c r="B22" s="332"/>
      <c r="C22" s="332"/>
      <c r="D22" s="332"/>
      <c r="E22" s="332"/>
      <c r="F22" s="332"/>
      <c r="G22" s="332"/>
      <c r="H22" s="332"/>
      <c r="I22" s="332"/>
      <c r="J22" s="332"/>
      <c r="K22" s="332"/>
    </row>
    <row r="23" spans="2:11" ht="12.75">
      <c r="B23" s="332"/>
      <c r="C23" s="332"/>
      <c r="D23" s="332"/>
      <c r="E23" s="332"/>
      <c r="F23" s="332"/>
      <c r="G23" s="332"/>
      <c r="H23" s="332"/>
      <c r="I23" s="332"/>
      <c r="J23" s="332"/>
      <c r="K23" s="332"/>
    </row>
    <row r="25" spans="7:8" ht="12.75" hidden="1">
      <c r="G25" t="s">
        <v>23</v>
      </c>
      <c r="H25" t="s">
        <v>24</v>
      </c>
    </row>
    <row r="26" spans="7:8" ht="12.75" hidden="1">
      <c r="G26">
        <v>27</v>
      </c>
      <c r="H26">
        <v>25</v>
      </c>
    </row>
  </sheetData>
  <sheetProtection/>
  <mergeCells count="1">
    <mergeCell ref="B9:K9"/>
  </mergeCells>
  <conditionalFormatting sqref="C16 E12:G12 E16:F16">
    <cfRule type="expression" priority="12" dxfId="0" stopIfTrue="1">
      <formula>$K12=1</formula>
    </cfRule>
  </conditionalFormatting>
  <conditionalFormatting sqref="C12">
    <cfRule type="expression" priority="11" dxfId="0" stopIfTrue="1">
      <formula>$K12=1</formula>
    </cfRule>
  </conditionalFormatting>
  <conditionalFormatting sqref="G13">
    <cfRule type="expression" priority="5" dxfId="0" stopIfTrue="1">
      <formula>$K13=1</formula>
    </cfRule>
  </conditionalFormatting>
  <conditionalFormatting sqref="G14">
    <cfRule type="expression" priority="4" dxfId="0" stopIfTrue="1">
      <formula>$K14=1</formula>
    </cfRule>
  </conditionalFormatting>
  <conditionalFormatting sqref="G15">
    <cfRule type="expression" priority="3" dxfId="0" stopIfTrue="1">
      <formula>$K15=1</formula>
    </cfRule>
  </conditionalFormatting>
  <conditionalFormatting sqref="G16">
    <cfRule type="expression" priority="2" dxfId="0" stopIfTrue="1">
      <formula>$K16=1</formula>
    </cfRule>
  </conditionalFormatting>
  <conditionalFormatting sqref="E13">
    <cfRule type="expression" priority="1" dxfId="0" stopIfTrue="1">
      <formula>$K13=1</formula>
    </cfRule>
  </conditionalFormatting>
  <conditionalFormatting sqref="C13:C15">
    <cfRule type="expression" priority="279" dxfId="0" stopIfTrue="1">
      <formula>'COMP.7'!#REF!=1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Frizzo Engenharia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Frizzo</dc:creator>
  <cp:keywords/>
  <dc:description/>
  <cp:lastModifiedBy>User</cp:lastModifiedBy>
  <cp:lastPrinted>2018-03-22T17:50:32Z</cp:lastPrinted>
  <dcterms:created xsi:type="dcterms:W3CDTF">1998-09-09T17:34:30Z</dcterms:created>
  <dcterms:modified xsi:type="dcterms:W3CDTF">2018-05-25T11:33:10Z</dcterms:modified>
  <cp:category/>
  <cp:version/>
  <cp:contentType/>
  <cp:contentStatus/>
</cp:coreProperties>
</file>