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ORRENCIA LIXO 2\"/>
    </mc:Choice>
  </mc:AlternateContent>
  <bookViews>
    <workbookView xWindow="0" yWindow="0" windowWidth="21600" windowHeight="9135" tabRatio="802"/>
  </bookViews>
  <sheets>
    <sheet name="1. Coleta Domiciliar" sheetId="2" r:id="rId1"/>
    <sheet name="2. Coleta Seletiva" sheetId="27" r:id="rId2"/>
    <sheet name="3.Encargos Sociais" sheetId="8" r:id="rId3"/>
    <sheet name="4.CAGED" sheetId="5" r:id="rId4"/>
    <sheet name="5.BDI" sheetId="4" r:id="rId5"/>
    <sheet name="6. Depreciação" sheetId="6" r:id="rId6"/>
    <sheet name="Rotas Org" sheetId="38" r:id="rId7"/>
    <sheet name="Rotas selet " sheetId="39" r:id="rId8"/>
    <sheet name="Ton" sheetId="22" r:id="rId9"/>
    <sheet name="Horários" sheetId="11" r:id="rId10"/>
    <sheet name="Memória" sheetId="26" r:id="rId11"/>
  </sheets>
  <externalReferences>
    <externalReference r:id="rId12"/>
  </externalReferences>
  <definedNames>
    <definedName name="AbaDeprec">'6. Depreciação'!$A$1</definedName>
    <definedName name="AbaRemun">#REF!</definedName>
    <definedName name="_xlnm.Print_Area" localSheetId="0">'1. Coleta Domiciliar'!$A$1:$F$318</definedName>
    <definedName name="_xlnm.Print_Area" localSheetId="1">'2. Coleta Seletiva'!$A$1:$F$314</definedName>
    <definedName name="_xlnm.Print_Area" localSheetId="2">'3.Encargos Sociais'!$A$1:$C$36</definedName>
    <definedName name="_xlnm.Print_Titles" localSheetId="0">'1. Coleta Domiciliar'!$1:$4</definedName>
    <definedName name="_xlnm.Print_Titles" localSheetId="1">'2. Coleta Seletiva'!$1:$4</definedName>
  </definedNames>
  <calcPr calcId="152511"/>
</workbook>
</file>

<file path=xl/calcChain.xml><?xml version="1.0" encoding="utf-8"?>
<calcChain xmlns="http://schemas.openxmlformats.org/spreadsheetml/2006/main">
  <c r="D242" i="27" l="1"/>
  <c r="D246" i="2"/>
  <c r="D177" i="27"/>
  <c r="D236" i="27" l="1"/>
  <c r="D240" i="2"/>
  <c r="C141" i="2"/>
  <c r="C140" i="2"/>
  <c r="E88" i="2"/>
  <c r="B50" i="2"/>
  <c r="E22" i="39"/>
  <c r="F33" i="39" s="1"/>
  <c r="C236" i="27" s="1"/>
  <c r="E18" i="39"/>
  <c r="E24" i="39" l="1"/>
  <c r="F32" i="39"/>
  <c r="C234" i="27" s="1"/>
  <c r="E236" i="27"/>
  <c r="E22" i="38"/>
  <c r="F34" i="38" s="1"/>
  <c r="C240" i="2" s="1"/>
  <c r="E240" i="2" s="1"/>
  <c r="E18" i="38"/>
  <c r="E24" i="38" l="1"/>
  <c r="F33" i="38"/>
  <c r="C238" i="2" s="1"/>
  <c r="C135" i="2"/>
  <c r="C134" i="2"/>
  <c r="B49" i="27"/>
  <c r="C137" i="27"/>
  <c r="C136" i="27"/>
  <c r="E87" i="27"/>
  <c r="E202" i="27" s="1"/>
  <c r="E218" i="27" s="1"/>
  <c r="E114" i="2"/>
  <c r="E184" i="2"/>
  <c r="E206" i="2" s="1"/>
  <c r="E222" i="2" s="1"/>
  <c r="F28" i="39" l="1"/>
  <c r="F30" i="39" s="1"/>
  <c r="F31" i="39" s="1"/>
  <c r="B230" i="27" s="1"/>
  <c r="C242" i="27" s="1"/>
  <c r="E242" i="27" s="1"/>
  <c r="E180" i="27"/>
  <c r="E149" i="2"/>
  <c r="C246" i="27" l="1"/>
  <c r="C240" i="27"/>
  <c r="C252" i="27"/>
  <c r="C244" i="27"/>
  <c r="C238" i="27"/>
  <c r="F28" i="38"/>
  <c r="F31" i="38" s="1"/>
  <c r="F32" i="38" s="1"/>
  <c r="B234" i="2" s="1"/>
  <c r="C246" i="2" s="1"/>
  <c r="E246" i="2" s="1"/>
  <c r="C248" i="2" l="1"/>
  <c r="C242" i="2"/>
  <c r="C255" i="2"/>
  <c r="C250" i="2"/>
  <c r="C244" i="2"/>
  <c r="A141" i="2"/>
  <c r="E293" i="27" l="1"/>
  <c r="E292" i="27"/>
  <c r="E295" i="2"/>
  <c r="D176" i="2" l="1"/>
  <c r="D173" i="27"/>
  <c r="E173" i="27" s="1"/>
  <c r="E155" i="27"/>
  <c r="D177" i="2"/>
  <c r="E177" i="2" s="1"/>
  <c r="E159" i="2"/>
  <c r="A211" i="27" l="1"/>
  <c r="C195" i="27"/>
  <c r="E291" i="27"/>
  <c r="E284" i="27"/>
  <c r="E294" i="27" s="1"/>
  <c r="C280" i="27"/>
  <c r="E280" i="27" s="1"/>
  <c r="D281" i="27" s="1"/>
  <c r="E281" i="27" s="1"/>
  <c r="C273" i="27"/>
  <c r="E272" i="27"/>
  <c r="E271" i="27"/>
  <c r="E270" i="27"/>
  <c r="E269" i="27"/>
  <c r="E268" i="27"/>
  <c r="C260" i="27"/>
  <c r="C258" i="27"/>
  <c r="E258" i="27" s="1"/>
  <c r="E256" i="27"/>
  <c r="D246" i="27"/>
  <c r="D244" i="27"/>
  <c r="D240" i="27"/>
  <c r="D238" i="27"/>
  <c r="D234" i="27"/>
  <c r="E226" i="27"/>
  <c r="C224" i="27"/>
  <c r="E224" i="27" s="1"/>
  <c r="C223" i="27"/>
  <c r="C222" i="27"/>
  <c r="C217" i="27"/>
  <c r="E282" i="27" s="1"/>
  <c r="D283" i="27" s="1"/>
  <c r="E283" i="27" s="1"/>
  <c r="C212" i="27"/>
  <c r="D211" i="27"/>
  <c r="D206" i="27"/>
  <c r="E206" i="27" s="1"/>
  <c r="C199" i="27"/>
  <c r="C198" i="27"/>
  <c r="C211" i="27"/>
  <c r="E211" i="27" s="1"/>
  <c r="C194" i="27"/>
  <c r="C193" i="27"/>
  <c r="E190" i="27"/>
  <c r="D193" i="27" s="1"/>
  <c r="D178" i="27"/>
  <c r="E178" i="27" s="1"/>
  <c r="E177" i="27"/>
  <c r="D176" i="27"/>
  <c r="E176" i="27" s="1"/>
  <c r="D175" i="27"/>
  <c r="E175" i="27" s="1"/>
  <c r="D174" i="27"/>
  <c r="E174" i="27" s="1"/>
  <c r="D172" i="27"/>
  <c r="E172" i="27" s="1"/>
  <c r="E165" i="27"/>
  <c r="E164" i="27"/>
  <c r="E163" i="27"/>
  <c r="E162" i="27"/>
  <c r="E161" i="27"/>
  <c r="E160" i="27"/>
  <c r="E159" i="27"/>
  <c r="E158" i="27"/>
  <c r="E157" i="27"/>
  <c r="E156" i="27"/>
  <c r="E154" i="27"/>
  <c r="A137" i="27"/>
  <c r="D136" i="27"/>
  <c r="E136" i="27" s="1"/>
  <c r="A136" i="27"/>
  <c r="A143" i="27" s="1"/>
  <c r="E118" i="27"/>
  <c r="E119" i="27" s="1"/>
  <c r="E108" i="27"/>
  <c r="E109" i="27" s="1"/>
  <c r="E103" i="27"/>
  <c r="E145" i="27" s="1"/>
  <c r="C96" i="27"/>
  <c r="C97" i="27" s="1"/>
  <c r="D92" i="27"/>
  <c r="D97" i="27" s="1"/>
  <c r="D82" i="27"/>
  <c r="E78" i="27"/>
  <c r="C69" i="27"/>
  <c r="D65" i="27"/>
  <c r="D68" i="27" s="1"/>
  <c r="E68" i="27" s="1"/>
  <c r="D55" i="27"/>
  <c r="E55" i="27" s="1"/>
  <c r="E54" i="27"/>
  <c r="E74" i="27"/>
  <c r="E46" i="27"/>
  <c r="A46" i="27"/>
  <c r="E42" i="27"/>
  <c r="A42" i="27"/>
  <c r="E41" i="27"/>
  <c r="A41" i="27"/>
  <c r="E40" i="27"/>
  <c r="C179" i="27" s="1"/>
  <c r="A40" i="27"/>
  <c r="E39" i="27"/>
  <c r="A39" i="27"/>
  <c r="E38" i="27"/>
  <c r="C166" i="27" s="1"/>
  <c r="A38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32" i="2"/>
  <c r="E296" i="2"/>
  <c r="E294" i="2"/>
  <c r="C276" i="2"/>
  <c r="E297" i="2"/>
  <c r="E275" i="2"/>
  <c r="E274" i="2"/>
  <c r="E273" i="2"/>
  <c r="E272" i="2"/>
  <c r="E271" i="2"/>
  <c r="E230" i="2"/>
  <c r="D182" i="2"/>
  <c r="D180" i="2"/>
  <c r="D179" i="2"/>
  <c r="D178" i="2"/>
  <c r="D10" i="26"/>
  <c r="D9" i="26"/>
  <c r="D8" i="26"/>
  <c r="A6" i="26"/>
  <c r="D4" i="26"/>
  <c r="A17" i="2"/>
  <c r="E119" i="2"/>
  <c r="E120" i="2" s="1"/>
  <c r="C97" i="2"/>
  <c r="D83" i="2"/>
  <c r="D93" i="2"/>
  <c r="D98" i="2" s="1"/>
  <c r="A15" i="2"/>
  <c r="D247" i="27" l="1"/>
  <c r="C208" i="27"/>
  <c r="D222" i="27" s="1"/>
  <c r="E222" i="27" s="1"/>
  <c r="E97" i="27"/>
  <c r="E223" i="27"/>
  <c r="E246" i="27"/>
  <c r="F297" i="2"/>
  <c r="E32" i="2" s="1"/>
  <c r="D141" i="2"/>
  <c r="E141" i="2" s="1"/>
  <c r="D148" i="2"/>
  <c r="D137" i="27"/>
  <c r="E137" i="27" s="1"/>
  <c r="F138" i="27" s="1"/>
  <c r="E19" i="27" s="1"/>
  <c r="D144" i="27"/>
  <c r="E82" i="27"/>
  <c r="F294" i="27"/>
  <c r="E32" i="27" s="1"/>
  <c r="E61" i="27"/>
  <c r="E92" i="27"/>
  <c r="D98" i="27"/>
  <c r="E98" i="27" s="1"/>
  <c r="E167" i="27"/>
  <c r="D166" i="27"/>
  <c r="E166" i="27" s="1"/>
  <c r="E244" i="27"/>
  <c r="D273" i="27"/>
  <c r="E273" i="27" s="1"/>
  <c r="F274" i="27" s="1"/>
  <c r="F276" i="27" s="1"/>
  <c r="E30" i="27" s="1"/>
  <c r="E144" i="27"/>
  <c r="D276" i="2"/>
  <c r="E276" i="2" s="1"/>
  <c r="F277" i="2" s="1"/>
  <c r="D259" i="27"/>
  <c r="E259" i="27" s="1"/>
  <c r="D260" i="27" s="1"/>
  <c r="E260" i="27" s="1"/>
  <c r="F261" i="27" s="1"/>
  <c r="E29" i="27" s="1"/>
  <c r="E238" i="27"/>
  <c r="E252" i="27"/>
  <c r="F253" i="27" s="1"/>
  <c r="E28" i="27" s="1"/>
  <c r="E43" i="27"/>
  <c r="C130" i="27"/>
  <c r="D120" i="27"/>
  <c r="D179" i="27"/>
  <c r="E179" i="27" s="1"/>
  <c r="F284" i="27"/>
  <c r="F286" i="27" s="1"/>
  <c r="E31" i="27" s="1"/>
  <c r="D56" i="27"/>
  <c r="E56" i="27" s="1"/>
  <c r="E57" i="27" s="1"/>
  <c r="E65" i="27"/>
  <c r="C67" i="27"/>
  <c r="D81" i="27"/>
  <c r="E81" i="27" s="1"/>
  <c r="D95" i="27"/>
  <c r="E95" i="27" s="1"/>
  <c r="C131" i="27"/>
  <c r="C143" i="27"/>
  <c r="E143" i="27" s="1"/>
  <c r="E195" i="27"/>
  <c r="E234" i="27"/>
  <c r="E240" i="27"/>
  <c r="D67" i="27"/>
  <c r="E67" i="27" s="1"/>
  <c r="D110" i="27"/>
  <c r="E193" i="27"/>
  <c r="D194" i="27" s="1"/>
  <c r="E194" i="27" s="1"/>
  <c r="D99" i="2"/>
  <c r="D121" i="2"/>
  <c r="C98" i="2"/>
  <c r="E83" i="2"/>
  <c r="D225" i="27" l="1"/>
  <c r="E225" i="27" s="1"/>
  <c r="F226" i="27" s="1"/>
  <c r="E26" i="27" s="1"/>
  <c r="E83" i="27"/>
  <c r="D84" i="27" s="1"/>
  <c r="F167" i="27"/>
  <c r="F180" i="27"/>
  <c r="F182" i="27" s="1"/>
  <c r="E21" i="27" s="1"/>
  <c r="F145" i="27"/>
  <c r="E20" i="27" s="1"/>
  <c r="E99" i="27"/>
  <c r="D100" i="27" s="1"/>
  <c r="F248" i="27"/>
  <c r="E27" i="27" s="1"/>
  <c r="D131" i="27"/>
  <c r="E131" i="27" s="1"/>
  <c r="D130" i="27"/>
  <c r="E130" i="27" s="1"/>
  <c r="D58" i="27"/>
  <c r="C213" i="27"/>
  <c r="D198" i="27"/>
  <c r="E198" i="27" s="1"/>
  <c r="D199" i="27" s="1"/>
  <c r="E199" i="27" s="1"/>
  <c r="E200" i="27" s="1"/>
  <c r="D201" i="27" s="1"/>
  <c r="E201" i="27" s="1"/>
  <c r="F202" i="27" s="1"/>
  <c r="D69" i="27"/>
  <c r="E69" i="27" s="1"/>
  <c r="E70" i="27" s="1"/>
  <c r="C209" i="27"/>
  <c r="D210" i="27" s="1"/>
  <c r="E210" i="27" s="1"/>
  <c r="E42" i="2"/>
  <c r="A42" i="2"/>
  <c r="E104" i="2"/>
  <c r="E93" i="2"/>
  <c r="D96" i="2" s="1"/>
  <c r="D56" i="2"/>
  <c r="E56" i="2" s="1"/>
  <c r="C67" i="2"/>
  <c r="C68" i="2" s="1"/>
  <c r="C214" i="27" l="1"/>
  <c r="D215" i="27" s="1"/>
  <c r="E215" i="27" s="1"/>
  <c r="E216" i="27" s="1"/>
  <c r="D217" i="27" s="1"/>
  <c r="E217" i="27" s="1"/>
  <c r="F218" i="27" s="1"/>
  <c r="E25" i="27" s="1"/>
  <c r="E24" i="27"/>
  <c r="D71" i="27"/>
  <c r="F132" i="27"/>
  <c r="E96" i="2"/>
  <c r="E99" i="2"/>
  <c r="E98" i="2"/>
  <c r="C20" i="22"/>
  <c r="C22" i="22" s="1"/>
  <c r="D140" i="2"/>
  <c r="D312" i="2" l="1"/>
  <c r="C287" i="2"/>
  <c r="E18" i="27"/>
  <c r="F263" i="27"/>
  <c r="E22" i="27" s="1"/>
  <c r="E23" i="27"/>
  <c r="E100" i="2"/>
  <c r="D101" i="2" s="1"/>
  <c r="F12" i="11" l="1"/>
  <c r="F15" i="11" s="1"/>
  <c r="F17" i="11" s="1"/>
  <c r="F19" i="11" s="1"/>
  <c r="C261" i="2"/>
  <c r="F56" i="11" l="1"/>
  <c r="F59" i="11" s="1"/>
  <c r="F61" i="11" s="1"/>
  <c r="F63" i="11" s="1"/>
  <c r="F44" i="11"/>
  <c r="F47" i="11" s="1"/>
  <c r="F49" i="11" s="1"/>
  <c r="F51" i="11" s="1"/>
  <c r="C13" i="4"/>
  <c r="D242" i="2"/>
  <c r="E161" i="2"/>
  <c r="F24" i="11"/>
  <c r="F27" i="11" l="1"/>
  <c r="F29" i="11" s="1"/>
  <c r="F31" i="11" s="1"/>
  <c r="E62" i="2"/>
  <c r="C227" i="2" l="1"/>
  <c r="C226" i="2"/>
  <c r="C228" i="2"/>
  <c r="A33" i="2" l="1"/>
  <c r="A31" i="2"/>
  <c r="A30" i="2"/>
  <c r="A22" i="2"/>
  <c r="A21" i="2"/>
  <c r="A11" i="2"/>
  <c r="C197" i="2" l="1"/>
  <c r="C202" i="2"/>
  <c r="E43" i="2" l="1"/>
  <c r="E41" i="2"/>
  <c r="E40" i="2"/>
  <c r="E39" i="2"/>
  <c r="E47" i="2"/>
  <c r="C183" i="2" l="1"/>
  <c r="C170" i="2"/>
  <c r="C221" i="2"/>
  <c r="C216" i="2"/>
  <c r="D250" i="2"/>
  <c r="D248" i="2"/>
  <c r="D244" i="2"/>
  <c r="E158" i="2" l="1"/>
  <c r="E160" i="2"/>
  <c r="E162" i="2"/>
  <c r="E163" i="2"/>
  <c r="E164" i="2"/>
  <c r="E165" i="2"/>
  <c r="E166" i="2"/>
  <c r="E167" i="2"/>
  <c r="E168" i="2"/>
  <c r="C263" i="2" l="1"/>
  <c r="A29" i="2"/>
  <c r="A28" i="2"/>
  <c r="A27" i="2"/>
  <c r="A26" i="2"/>
  <c r="A25" i="2"/>
  <c r="A24" i="2"/>
  <c r="A23" i="2"/>
  <c r="A20" i="2"/>
  <c r="A19" i="2"/>
  <c r="A18" i="2"/>
  <c r="A16" i="2"/>
  <c r="A14" i="2"/>
  <c r="A13" i="2"/>
  <c r="A12" i="2"/>
  <c r="C17" i="8"/>
  <c r="E171" i="2"/>
  <c r="E75" i="2"/>
  <c r="D210" i="2"/>
  <c r="C18" i="4"/>
  <c r="F11" i="4"/>
  <c r="E11" i="4"/>
  <c r="D11" i="4"/>
  <c r="C14" i="8"/>
  <c r="C34" i="5"/>
  <c r="C29" i="5"/>
  <c r="C28" i="8" s="1"/>
  <c r="C28" i="5"/>
  <c r="E79" i="2"/>
  <c r="E261" i="2"/>
  <c r="E242" i="2"/>
  <c r="D238" i="2"/>
  <c r="D251" i="2" s="1"/>
  <c r="E194" i="2"/>
  <c r="C212" i="2" s="1"/>
  <c r="D215" i="2"/>
  <c r="C203" i="2"/>
  <c r="C198" i="2"/>
  <c r="D66" i="2"/>
  <c r="D69" i="2" s="1"/>
  <c r="E69" i="2" s="1"/>
  <c r="C199" i="2"/>
  <c r="C215" i="2" s="1"/>
  <c r="A39" i="2"/>
  <c r="A40" i="2"/>
  <c r="A41" i="2"/>
  <c r="A43" i="2"/>
  <c r="A47" i="2"/>
  <c r="E55" i="2"/>
  <c r="D57" i="2" s="1"/>
  <c r="C70" i="2"/>
  <c r="A140" i="2"/>
  <c r="A147" i="2" s="1"/>
  <c r="E169" i="2"/>
  <c r="E176" i="2"/>
  <c r="E178" i="2"/>
  <c r="E179" i="2"/>
  <c r="E180" i="2"/>
  <c r="E181" i="2"/>
  <c r="E182" i="2"/>
  <c r="E259" i="2"/>
  <c r="E228" i="2"/>
  <c r="E227" i="2"/>
  <c r="C301" i="27" l="1"/>
  <c r="D82" i="2"/>
  <c r="E82" i="2" s="1"/>
  <c r="E84" i="2" s="1"/>
  <c r="D135" i="2" s="1"/>
  <c r="E135" i="2" s="1"/>
  <c r="C304" i="2"/>
  <c r="D197" i="2"/>
  <c r="E197" i="2" s="1"/>
  <c r="C213" i="2" s="1"/>
  <c r="D214" i="2" s="1"/>
  <c r="C27" i="8"/>
  <c r="G28" i="5"/>
  <c r="C39" i="5"/>
  <c r="E37" i="5"/>
  <c r="D37" i="5" s="1"/>
  <c r="D38" i="5" s="1"/>
  <c r="C38" i="5" s="1"/>
  <c r="C24" i="8" s="1"/>
  <c r="C32" i="8" s="1"/>
  <c r="E109" i="2"/>
  <c r="E248" i="2"/>
  <c r="D68" i="2"/>
  <c r="E68" i="2" s="1"/>
  <c r="E250" i="2"/>
  <c r="F279" i="2"/>
  <c r="E238" i="2"/>
  <c r="E66" i="2"/>
  <c r="E199" i="2"/>
  <c r="C217" i="2" s="1"/>
  <c r="D170" i="2"/>
  <c r="E140" i="2"/>
  <c r="E44" i="2"/>
  <c r="C147" i="2"/>
  <c r="E147" i="2" s="1"/>
  <c r="E215" i="2"/>
  <c r="E148" i="2"/>
  <c r="E57" i="2"/>
  <c r="E58" i="2" s="1"/>
  <c r="D134" i="2" s="1"/>
  <c r="E244" i="2"/>
  <c r="E255" i="2"/>
  <c r="F256" i="2" s="1"/>
  <c r="E28" i="2" s="1"/>
  <c r="E287" i="2"/>
  <c r="F289" i="2" s="1"/>
  <c r="E210" i="2"/>
  <c r="D262" i="2"/>
  <c r="E262" i="2" s="1"/>
  <c r="D263" i="2" s="1"/>
  <c r="E263" i="2" s="1"/>
  <c r="F264" i="2" s="1"/>
  <c r="E29" i="2" s="1"/>
  <c r="D183" i="2"/>
  <c r="F252" i="2" l="1"/>
  <c r="E27" i="2" s="1"/>
  <c r="E31" i="2"/>
  <c r="E134" i="2"/>
  <c r="F136" i="2" s="1"/>
  <c r="E18" i="2" s="1"/>
  <c r="E30" i="2"/>
  <c r="D70" i="2"/>
  <c r="E70" i="2" s="1"/>
  <c r="E71" i="2" s="1"/>
  <c r="D59" i="2"/>
  <c r="D198" i="2"/>
  <c r="E198" i="2" s="1"/>
  <c r="C26" i="8"/>
  <c r="C25" i="8"/>
  <c r="K35" i="5"/>
  <c r="K36" i="5" s="1"/>
  <c r="K37" i="5" s="1"/>
  <c r="K38" i="5" s="1"/>
  <c r="K39" i="5" s="1"/>
  <c r="K40" i="5" s="1"/>
  <c r="K41" i="5" s="1"/>
  <c r="C16" i="8"/>
  <c r="C22" i="8" s="1"/>
  <c r="C31" i="8" s="1"/>
  <c r="C33" i="8" s="1"/>
  <c r="F37" i="5"/>
  <c r="G37" i="5" s="1"/>
  <c r="C37" i="5"/>
  <c r="F142" i="2"/>
  <c r="E19" i="2" s="1"/>
  <c r="F149" i="2"/>
  <c r="E183" i="2"/>
  <c r="F184" i="2" s="1"/>
  <c r="E170" i="2"/>
  <c r="F171" i="2" s="1"/>
  <c r="D202" i="2"/>
  <c r="E202" i="2" s="1"/>
  <c r="D203" i="2" s="1"/>
  <c r="E203" i="2" s="1"/>
  <c r="D85" i="2"/>
  <c r="E20" i="2" l="1"/>
  <c r="E214" i="2"/>
  <c r="D226" i="2"/>
  <c r="E226" i="2" s="1"/>
  <c r="D229" i="2" s="1"/>
  <c r="E229" i="2" s="1"/>
  <c r="F230" i="2" s="1"/>
  <c r="E26" i="2" s="1"/>
  <c r="C29" i="8"/>
  <c r="C34" i="8" s="1"/>
  <c r="G38" i="5"/>
  <c r="G32" i="5"/>
  <c r="E204" i="2"/>
  <c r="D205" i="2" s="1"/>
  <c r="E205" i="2" s="1"/>
  <c r="F206" i="2" s="1"/>
  <c r="C218" i="2"/>
  <c r="F186" i="2"/>
  <c r="E21" i="2" s="1"/>
  <c r="E110" i="2"/>
  <c r="D111" i="2" s="1"/>
  <c r="C100" i="27" l="1"/>
  <c r="E100" i="27" s="1"/>
  <c r="E101" i="27" s="1"/>
  <c r="D102" i="27" s="1"/>
  <c r="E102" i="27" s="1"/>
  <c r="F103" i="27" s="1"/>
  <c r="E15" i="27" s="1"/>
  <c r="C71" i="27"/>
  <c r="E71" i="27" s="1"/>
  <c r="E72" i="27" s="1"/>
  <c r="D73" i="27" s="1"/>
  <c r="E73" i="27" s="1"/>
  <c r="F74" i="27" s="1"/>
  <c r="E13" i="27" s="1"/>
  <c r="C58" i="27"/>
  <c r="E58" i="27" s="1"/>
  <c r="E59" i="27" s="1"/>
  <c r="D60" i="27" s="1"/>
  <c r="E60" i="27" s="1"/>
  <c r="F61" i="27" s="1"/>
  <c r="E12" i="27" s="1"/>
  <c r="C120" i="27"/>
  <c r="E120" i="27" s="1"/>
  <c r="E121" i="27" s="1"/>
  <c r="D122" i="27" s="1"/>
  <c r="E122" i="27" s="1"/>
  <c r="F123" i="27" s="1"/>
  <c r="E17" i="27" s="1"/>
  <c r="C110" i="27"/>
  <c r="E110" i="27" s="1"/>
  <c r="E111" i="27" s="1"/>
  <c r="D112" i="27" s="1"/>
  <c r="E112" i="27" s="1"/>
  <c r="F113" i="27" s="1"/>
  <c r="C84" i="27"/>
  <c r="E84" i="27" s="1"/>
  <c r="E85" i="27" s="1"/>
  <c r="D86" i="27" s="1"/>
  <c r="E86" i="27" s="1"/>
  <c r="F87" i="27" s="1"/>
  <c r="E14" i="27" s="1"/>
  <c r="C121" i="2"/>
  <c r="E121" i="2" s="1"/>
  <c r="E122" i="2" s="1"/>
  <c r="D123" i="2" s="1"/>
  <c r="E123" i="2" s="1"/>
  <c r="F124" i="2" s="1"/>
  <c r="E17" i="2" s="1"/>
  <c r="C101" i="2"/>
  <c r="E101" i="2" s="1"/>
  <c r="E102" i="2" s="1"/>
  <c r="D103" i="2" s="1"/>
  <c r="E103" i="2" s="1"/>
  <c r="F104" i="2" s="1"/>
  <c r="E15" i="2" s="1"/>
  <c r="E24" i="2"/>
  <c r="D219" i="2"/>
  <c r="E219" i="2" s="1"/>
  <c r="E220" i="2" s="1"/>
  <c r="D221" i="2" s="1"/>
  <c r="E221" i="2" s="1"/>
  <c r="F222" i="2" s="1"/>
  <c r="E25" i="2" s="1"/>
  <c r="C85" i="2"/>
  <c r="C59" i="2"/>
  <c r="C111" i="2"/>
  <c r="C72" i="2"/>
  <c r="D72" i="2"/>
  <c r="E23" i="2" l="1"/>
  <c r="E16" i="27"/>
  <c r="F147" i="27"/>
  <c r="E59" i="2"/>
  <c r="E60" i="2" s="1"/>
  <c r="D61" i="2" s="1"/>
  <c r="E61" i="2" s="1"/>
  <c r="F266" i="2"/>
  <c r="E22" i="2" s="1"/>
  <c r="E72" i="2"/>
  <c r="E73" i="2" s="1"/>
  <c r="D74" i="2" s="1"/>
  <c r="E74" i="2" s="1"/>
  <c r="F75" i="2" s="1"/>
  <c r="E13" i="2" s="1"/>
  <c r="E111" i="2"/>
  <c r="E112" i="2" s="1"/>
  <c r="D113" i="2" s="1"/>
  <c r="E113" i="2" s="1"/>
  <c r="F114" i="2" s="1"/>
  <c r="E85" i="2"/>
  <c r="E86" i="2" s="1"/>
  <c r="D87" i="2" s="1"/>
  <c r="E87" i="2" s="1"/>
  <c r="F296" i="27" l="1"/>
  <c r="E11" i="27"/>
  <c r="F62" i="2"/>
  <c r="E12" i="2" s="1"/>
  <c r="F88" i="2"/>
  <c r="E14" i="2" s="1"/>
  <c r="E16" i="2"/>
  <c r="D301" i="27" l="1"/>
  <c r="E301" i="27" s="1"/>
  <c r="F302" i="27" s="1"/>
  <c r="F304" i="27" s="1"/>
  <c r="E33" i="27" s="1"/>
  <c r="F151" i="2"/>
  <c r="E34" i="27" l="1"/>
  <c r="F306" i="27"/>
  <c r="F299" i="2"/>
  <c r="D304" i="2" s="1"/>
  <c r="E304" i="2" s="1"/>
  <c r="F305" i="2" s="1"/>
  <c r="F307" i="2" s="1"/>
  <c r="E11" i="2"/>
  <c r="F310" i="27" l="1"/>
  <c r="F19" i="27"/>
  <c r="F32" i="27"/>
  <c r="F29" i="27"/>
  <c r="F26" i="27"/>
  <c r="F31" i="27"/>
  <c r="F20" i="27"/>
  <c r="F24" i="27"/>
  <c r="F23" i="27"/>
  <c r="F22" i="27"/>
  <c r="F18" i="27"/>
  <c r="F30" i="27"/>
  <c r="F28" i="27"/>
  <c r="F21" i="27"/>
  <c r="F27" i="27"/>
  <c r="F25" i="27"/>
  <c r="F17" i="27"/>
  <c r="F12" i="27"/>
  <c r="F14" i="27"/>
  <c r="F13" i="27"/>
  <c r="F15" i="27"/>
  <c r="F16" i="27"/>
  <c r="F11" i="27"/>
  <c r="F33" i="27"/>
  <c r="E33" i="2"/>
  <c r="E34" i="2" s="1"/>
  <c r="F310" i="2"/>
  <c r="F32" i="2" l="1"/>
  <c r="F27" i="2"/>
  <c r="F24" i="2"/>
  <c r="F34" i="27"/>
  <c r="F18" i="2"/>
  <c r="F19" i="2"/>
  <c r="F314" i="2"/>
  <c r="F14" i="2"/>
  <c r="F29" i="2"/>
  <c r="F33" i="2"/>
  <c r="F16" i="2"/>
  <c r="F30" i="2"/>
  <c r="F26" i="2"/>
  <c r="F25" i="2"/>
  <c r="F23" i="2"/>
  <c r="F28" i="2"/>
  <c r="F22" i="2"/>
  <c r="F20" i="2"/>
  <c r="F12" i="2"/>
  <c r="F21" i="2"/>
  <c r="F13" i="2"/>
  <c r="F31" i="2"/>
  <c r="F15" i="2"/>
  <c r="F11" i="2"/>
  <c r="F17" i="2"/>
  <c r="F34" i="2" l="1"/>
</calcChain>
</file>

<file path=xl/comments1.xml><?xml version="1.0" encoding="utf-8"?>
<comments xmlns="http://schemas.openxmlformats.org/spreadsheetml/2006/main">
  <authors>
    <author>Clauber Bridi</author>
  </authors>
  <commentList>
    <comment ref="D194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45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5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D190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241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41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</commentList>
</comments>
</file>

<file path=xl/sharedStrings.xml><?xml version="1.0" encoding="utf-8"?>
<sst xmlns="http://schemas.openxmlformats.org/spreadsheetml/2006/main" count="1284" uniqueCount="420">
  <si>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</si>
  <si>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</si>
  <si>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</si>
  <si>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</si>
  <si>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</si>
  <si>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</si>
  <si>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</si>
  <si>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</si>
  <si>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</si>
  <si>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</si>
  <si>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</si>
  <si>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</si>
  <si>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</si>
  <si>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</si>
  <si>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</si>
  <si>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</si>
  <si>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</si>
  <si>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</si>
  <si>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</si>
  <si>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</si>
  <si>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</si>
  <si>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</si>
  <si>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</si>
  <si>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</si>
  <si>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</si>
  <si>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</si>
  <si>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</si>
  <si>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</si>
  <si>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</si>
  <si>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</si>
  <si>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</si>
  <si>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</si>
  <si>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</si>
  <si>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</si>
  <si>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</si>
  <si>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</si>
  <si>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</si>
  <si>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</si>
  <si>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</si>
  <si>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</si>
  <si>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</si>
  <si>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</si>
  <si>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</si>
  <si>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</si>
  <si>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</si>
  <si>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</si>
  <si>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</si>
  <si>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</si>
  <si>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</si>
  <si>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</si>
  <si>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</si>
  <si>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</si>
  <si>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</si>
  <si>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</si>
  <si>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</si>
  <si>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</si>
  <si>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</si>
  <si>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</si>
  <si>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</si>
  <si>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</si>
  <si>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</si>
  <si>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</si>
  <si>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</si>
  <si>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</si>
  <si>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</si>
  <si>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</si>
  <si>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</si>
  <si>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PREÇO POR TONELADA COLETADA:  [A/B]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</si>
  <si>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</si>
  <si>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</si>
  <si>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</si>
  <si>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</si>
  <si>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</si>
  <si>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</si>
  <si>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</si>
  <si>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</si>
  <si>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</si>
  <si>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</si>
  <si>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</si>
  <si>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</si>
  <si>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</si>
  <si>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</si>
  <si>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</si>
  <si>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</si>
  <si>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</si>
  <si>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</si>
  <si>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</si>
  <si>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</si>
  <si>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</si>
  <si>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</si>
  <si>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</si>
  <si>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</si>
  <si>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</si>
  <si>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</si>
  <si>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</si>
  <si>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1.1. Coletor Turno Dia</t>
  </si>
  <si>
    <t>1.3. Motorista Turno do Dia</t>
  </si>
  <si>
    <t>hora contabilizada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</si>
  <si>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</si>
  <si>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</si>
  <si>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</si>
  <si>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</si>
  <si>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</si>
  <si>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</si>
  <si>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</si>
  <si>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</si>
  <si>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Custo do chassis</t>
  </si>
  <si>
    <t>Custo do compactador</t>
  </si>
  <si>
    <t>3.1.2. Remuneração do Capital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</si>
  <si>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</si>
  <si>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</si>
  <si>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</si>
  <si>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</si>
  <si>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</si>
  <si>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</si>
  <si>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</si>
  <si>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</si>
  <si>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</si>
  <si>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</si>
  <si>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</si>
  <si>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</si>
  <si>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</si>
  <si>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</si>
  <si>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</si>
  <si>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</si>
  <si>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</si>
  <si>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</si>
  <si>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</si>
  <si>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</si>
  <si>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</si>
  <si>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Rotatividade</t>
  </si>
  <si>
    <t>Demitidos s/ Justa Causa em relação ao Estoque Médio</t>
  </si>
  <si>
    <t>Dias ano</t>
  </si>
  <si>
    <t>Estoque Médio</t>
  </si>
  <si>
    <t>Multa FGTS</t>
  </si>
  <si>
    <t>Fração de tempo para gozo férias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</si>
  <si>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</si>
  <si>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</si>
  <si>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</si>
  <si>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</si>
  <si>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</si>
  <si>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</si>
  <si>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</si>
  <si>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</si>
  <si>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</si>
  <si>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</si>
  <si>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</si>
  <si>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</si>
  <si>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</si>
  <si>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</si>
  <si>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</si>
  <si>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</si>
  <si>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</si>
  <si>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</si>
  <si>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</si>
  <si>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</si>
  <si>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</si>
  <si>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</si>
  <si>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</si>
  <si>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</si>
  <si>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</si>
  <si>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</si>
  <si>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</si>
  <si>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</si>
  <si>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</si>
  <si>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</si>
  <si>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</si>
  <si>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</si>
  <si>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</si>
  <si>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</si>
  <si>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</si>
  <si>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</si>
  <si>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</si>
  <si>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</si>
  <si>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</si>
  <si>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</si>
  <si>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</si>
  <si>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</si>
  <si>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</si>
  <si>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</si>
  <si>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</si>
  <si>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</si>
  <si>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</si>
  <si>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Grupo A sobre aviso prévio indenizado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</si>
  <si>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</si>
  <si>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</si>
  <si>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</si>
  <si>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</si>
  <si>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</si>
  <si>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</si>
  <si>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</si>
  <si>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</si>
  <si>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</si>
  <si>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</si>
  <si>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</si>
  <si>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</si>
  <si>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</si>
  <si>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</si>
  <si>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</si>
  <si>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</si>
  <si>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</si>
  <si>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</si>
  <si>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3. As células azuis deverão ter seus valores preenchidos em outra planilha do arquivo.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</si>
  <si>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</si>
  <si>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</si>
  <si>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</si>
  <si>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</si>
  <si>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</si>
  <si>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</si>
  <si>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</si>
  <si>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</si>
  <si>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</si>
  <si>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</si>
  <si>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</si>
  <si>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</si>
  <si>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</si>
  <si>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</si>
  <si>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Piso da categoria (1)</t>
  </si>
  <si>
    <t>Salário mínimo nacional (2)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</si>
  <si>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</si>
  <si>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</si>
  <si>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</si>
  <si>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</si>
  <si>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</si>
  <si>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</si>
  <si>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</si>
  <si>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</si>
  <si>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</si>
  <si>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</si>
  <si>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</si>
  <si>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</si>
  <si>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</si>
  <si>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1. Esta planilha é somente um modelo-base. Qualquer custo previsto no edital e não contemplado nesta planilha deverá ser devidamente incluído</t>
  </si>
  <si>
    <t>5. Depreciação Referencial TCE/RS (%)</t>
  </si>
  <si>
    <t>Custo unitário</t>
  </si>
  <si>
    <t>Custo de óleo do motor /1.000 km rodados</t>
  </si>
  <si>
    <t>Custo de óleo da transmissão /1.000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</si>
  <si>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</si>
  <si>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</si>
  <si>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</si>
  <si>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</si>
  <si>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</si>
  <si>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</si>
  <si>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</si>
  <si>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</si>
  <si>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</si>
  <si>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</si>
  <si>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</si>
  <si>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</si>
  <si>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</si>
  <si>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</si>
  <si>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</si>
  <si>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</si>
  <si>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</si>
  <si>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</si>
  <si>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Estoque recuperado início do Período 01-09-2016</t>
  </si>
  <si>
    <t>Estoque recuperado final do Período 31-08-2017</t>
  </si>
  <si>
    <t>Variação Emprego Absoluta de 01-09-2016 a 31-08-2017</t>
  </si>
  <si>
    <t>Unid</t>
  </si>
  <si>
    <t>i</t>
  </si>
  <si>
    <t>Depreciação Média</t>
  </si>
  <si>
    <t xml:space="preserve">Nr. Func. </t>
  </si>
  <si>
    <t xml:space="preserve">Cargo </t>
  </si>
  <si>
    <t xml:space="preserve">Entrada </t>
  </si>
  <si>
    <t>Saída</t>
  </si>
  <si>
    <t>Total Horas</t>
  </si>
  <si>
    <t xml:space="preserve">Coletor </t>
  </si>
  <si>
    <t xml:space="preserve">Total de horas por coletor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</si>
  <si>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</si>
  <si>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</si>
  <si>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</si>
  <si>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</si>
  <si>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</si>
  <si>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</si>
  <si>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Cargo: Motorista</t>
  </si>
  <si>
    <t xml:space="preserve">Total de horas por motorista </t>
  </si>
  <si>
    <t xml:space="preserve">Cargo: Coletor de lixo orgânico </t>
  </si>
  <si>
    <t xml:space="preserve">Dias </t>
  </si>
  <si>
    <t xml:space="preserve">Bermudas </t>
  </si>
  <si>
    <t xml:space="preserve">Planilha com os horários dos funcionários coleta de lixo seletivo </t>
  </si>
  <si>
    <t xml:space="preserve">Planilha com os horários dos funcionários coleta de lixo orgânica </t>
  </si>
  <si>
    <t xml:space="preserve">Cargo: Coletor de lixo seletivo </t>
  </si>
  <si>
    <t xml:space="preserve">1. Coleta de Resíduos Seletivos </t>
  </si>
  <si>
    <t>Tributos - PIS/COFINS</t>
  </si>
  <si>
    <t>Total por Encarregado</t>
  </si>
  <si>
    <t xml:space="preserve">Ordem </t>
  </si>
  <si>
    <t>Valor R$</t>
  </si>
  <si>
    <t xml:space="preserve">Total de dias por semana </t>
  </si>
  <si>
    <t>Mês/ano</t>
  </si>
  <si>
    <t xml:space="preserve">Toneladas </t>
  </si>
  <si>
    <t>Total Geral Coletadas</t>
  </si>
  <si>
    <t xml:space="preserve">Nr. de meses </t>
  </si>
  <si>
    <t xml:space="preserve">Quantidade média mensal </t>
  </si>
  <si>
    <t>Toneladas coletadas e enviadas ao centro de triagem</t>
  </si>
  <si>
    <t xml:space="preserve">Total dos percursos Orgânicos </t>
  </si>
  <si>
    <t>Equipe 01 - Coleta de Residuos Orgânicos</t>
  </si>
  <si>
    <t>Equipe</t>
  </si>
  <si>
    <t>Distância</t>
  </si>
  <si>
    <t>Equipe 1</t>
  </si>
  <si>
    <t>Trecho</t>
  </si>
  <si>
    <t>Cor Linha</t>
  </si>
  <si>
    <t>Ponto a Ponto</t>
  </si>
  <si>
    <t>Trecho 01</t>
  </si>
  <si>
    <t>1 - 2</t>
  </si>
  <si>
    <t>m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</si>
  <si>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</si>
  <si>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</si>
  <si>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</si>
  <si>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</si>
  <si>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</si>
  <si>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</si>
  <si>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</si>
  <si>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</si>
  <si>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</si>
  <si>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</si>
  <si>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</si>
  <si>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</si>
  <si>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Trecho 08</t>
  </si>
  <si>
    <t>8 - 9</t>
  </si>
  <si>
    <t>Trecho 09</t>
  </si>
  <si>
    <t>9 - 10</t>
  </si>
  <si>
    <t>Distância total da Rota:</t>
  </si>
  <si>
    <t>Trecho sem coleta</t>
  </si>
  <si>
    <t>Distância total sem coleta:</t>
  </si>
  <si>
    <t>Distância total do percurso :</t>
  </si>
  <si>
    <t xml:space="preserve">hrs </t>
  </si>
  <si>
    <t>Horas extras mensal feriados (100% sobre valor hora)</t>
  </si>
  <si>
    <t>Total geral de horas base mês com (DSR)</t>
  </si>
  <si>
    <t xml:space="preserve">Fator de utilização </t>
  </si>
  <si>
    <t>Custo do jogo de pneus 275/22,5 R80</t>
  </si>
  <si>
    <t>Custo jg. compl. + 2 recap./ km rodado</t>
  </si>
  <si>
    <t>3.1. Veículo Coletor Compactador 15 m³</t>
  </si>
  <si>
    <t>Botina de segurança</t>
  </si>
  <si>
    <t xml:space="preserve">Botina de segurança </t>
  </si>
  <si>
    <t>1.4. Motorista Turno da Noite</t>
  </si>
  <si>
    <t>1.5. Supervisor Administrativo (Encarregado)</t>
  </si>
  <si>
    <t>Obs: Salário do motorista conforme Convenção Coletiva (Sinecarga 2018/2019)</t>
  </si>
  <si>
    <t>Obs: Salário R$1.676,60 - Considerado a inflação IPCA dos últimos 12 meses 3,89% = (R$1.741,82)</t>
  </si>
  <si>
    <t xml:space="preserve">Obs: salário base conforme pesquisa de mercado na região </t>
  </si>
  <si>
    <t xml:space="preserve">1.6. Técnico Segurança do Trabalho </t>
  </si>
  <si>
    <t xml:space="preserve">Obs: salário base conforme convenção coletiva. </t>
  </si>
  <si>
    <t>1.7. Vale Transporte</t>
  </si>
  <si>
    <t xml:space="preserve">Obs: considerado 110 horas de trabalho mês. </t>
  </si>
  <si>
    <t xml:space="preserve">Memória de Cálculo </t>
  </si>
  <si>
    <t xml:space="preserve">IPCA 12 meses </t>
  </si>
  <si>
    <t xml:space="preserve">Valor R$ </t>
  </si>
  <si>
    <t xml:space="preserve">Salário </t>
  </si>
  <si>
    <t xml:space="preserve">Profissional </t>
  </si>
  <si>
    <t xml:space="preserve">Desconto </t>
  </si>
  <si>
    <t xml:space="preserve">Vlr final </t>
  </si>
  <si>
    <t xml:space="preserve">Coletor Aux. Refeição </t>
  </si>
  <si>
    <t>Coletor Aux. Alimentação</t>
  </si>
  <si>
    <t xml:space="preserve">Valores conforme convenção coletiva da categoria. </t>
  </si>
  <si>
    <t>Obs: Auxílio Refeição Coletor R$16,73, descontando 19% cfe convenção coletiva R$13,55.</t>
  </si>
  <si>
    <t>Obs: Auxílio Refeição Motorista R$11,14, descontando 20% cfe convenção coletiva R$8,91.</t>
  </si>
  <si>
    <t>Motorista Auxílio Alimentação</t>
  </si>
  <si>
    <t xml:space="preserve">Obs: sobre o valor unitário do vale transporte já foi descontado 6% do salário bruto.  </t>
  </si>
  <si>
    <t>1.8. Auxílio Refeição</t>
  </si>
  <si>
    <t>1.9. Auxílio Alimentação (mensal)</t>
  </si>
  <si>
    <t>Custo de arla/5% do consumo de Óleo Diesel</t>
  </si>
  <si>
    <t>Custo mensal com arla</t>
  </si>
  <si>
    <t>Durabilidade/M</t>
  </si>
  <si>
    <t xml:space="preserve">6. Administração Local/Veículo de Apoio </t>
  </si>
  <si>
    <t xml:space="preserve">Veículo de apoio </t>
  </si>
  <si>
    <t xml:space="preserve">Um. </t>
  </si>
  <si>
    <t>7. Benefícios e Despesas Indiretas - BDI</t>
  </si>
  <si>
    <t xml:space="preserve">1. Coleta de Resíduos Orgânicos </t>
  </si>
  <si>
    <t xml:space="preserve">Custo de aquisição da caçamba </t>
  </si>
  <si>
    <t>Vida útil da caçamba</t>
  </si>
  <si>
    <t>Idade da caçamba</t>
  </si>
  <si>
    <t>Depreciação da caçamba</t>
  </si>
  <si>
    <t>Depreciação mensal da caçamba</t>
  </si>
  <si>
    <t>Aluguel espaço físico para garagem/oficina/vestiários</t>
  </si>
  <si>
    <t>Custo com água, energia elétrica, telefonia, internet</t>
  </si>
  <si>
    <t>Trecho 10</t>
  </si>
  <si>
    <t>Km</t>
  </si>
  <si>
    <t>10 - 11</t>
  </si>
  <si>
    <t>Trecho 11</t>
  </si>
  <si>
    <t>11 - 12</t>
  </si>
  <si>
    <t>Trecho 12</t>
  </si>
  <si>
    <t>12 - 13</t>
  </si>
  <si>
    <t>Valores R$</t>
  </si>
  <si>
    <t>PREFEITURA MUNICIPAL DE AUGUSTO PESTANA</t>
  </si>
  <si>
    <t>Período: (maio/2018 abr/2019)</t>
  </si>
  <si>
    <t>Dias</t>
  </si>
  <si>
    <t>N.Col. Semanal</t>
  </si>
  <si>
    <t>x</t>
  </si>
  <si>
    <t>Locais de coleta:  Cidade e Distritos de Rosário e Sede Velha</t>
  </si>
  <si>
    <t>Total Semanal</t>
  </si>
  <si>
    <t>Total Mensal</t>
  </si>
  <si>
    <t>Garagem - Início da rota</t>
  </si>
  <si>
    <t>Final da rota - Aterro Sanitário - Garagem</t>
  </si>
  <si>
    <t>Total dos percursos Seletivos</t>
  </si>
  <si>
    <t>Equipe - Coleta de Residuos Seletivos</t>
  </si>
  <si>
    <t xml:space="preserve">Obs: considerado 30 horas de trabalho mês. </t>
  </si>
  <si>
    <t xml:space="preserve">5. Destino do lixo no aterro </t>
  </si>
  <si>
    <t>Destino do lixo no aterro</t>
  </si>
  <si>
    <t>Ton</t>
  </si>
  <si>
    <t>Custo Mensal com Destino Final do Lixo (R$/mês)</t>
  </si>
  <si>
    <t>6. Benefícios e Despesas Indiretas - BDI</t>
  </si>
  <si>
    <t xml:space="preserve">Prefeitura Municipal de Augusto Pestana </t>
  </si>
  <si>
    <t xml:space="preserve">Tolenadas de lixo coletados em Augusto Pestana </t>
  </si>
  <si>
    <t xml:space="preserve">Obs: considerado uma hora de intervá-lo para almoço.  </t>
  </si>
  <si>
    <t xml:space="preserve">Dias da semana: Segunda e sexta </t>
  </si>
  <si>
    <t>Segunda e sexta</t>
  </si>
  <si>
    <t>Dias da semana: Quarta - Feira</t>
  </si>
  <si>
    <t>Quarta</t>
  </si>
  <si>
    <t>Periodicidade: Segunda e sexta</t>
  </si>
  <si>
    <t xml:space="preserve">Quartas-feiras </t>
  </si>
  <si>
    <t xml:space="preserve">Periodicidade: Quartas-feiras </t>
  </si>
  <si>
    <t xml:space="preserve">Total Mensal km coleta </t>
  </si>
  <si>
    <t xml:space="preserve">Total Mensal km transporte até aterro </t>
  </si>
  <si>
    <t xml:space="preserve">Custo de óleo diesel / km rodado Coleta </t>
  </si>
  <si>
    <t>Custo de óleo diesel / km rodado Transporte Aterro</t>
  </si>
  <si>
    <t>Custo de óleo diesel / km rodado Transp. Centro Triagem</t>
  </si>
  <si>
    <t xml:space="preserve">Total Mensal km transporte até Centro Triagem </t>
  </si>
  <si>
    <t>Obs: Cada Empresa deve cotar seus encargos cfe legislação pertinente</t>
  </si>
  <si>
    <t>Obs: Cada Empresa deve cotar seus tributos cfe legislação pertinente</t>
  </si>
  <si>
    <t>Custo de óleo hidráulico / 1.000 km</t>
  </si>
  <si>
    <t>Custo mensal com óleo hidráulico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</si>
</sst>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&quot;R$ &quot;#,##0.00_);\(&quot;R$ &quot;#,##0.00\)"/>
    <numFmt numFmtId="167" formatCode="_(* #,##0.00_);_(* \(#,##0.00\);_(* &quot;-&quot;??_);_(@_)"/>
    <numFmt numFmtId="168" formatCode="_(* #,##0_);_(* \(#,##0\);_(* &quot;-&quot;??_);_(@_)"/>
    <numFmt numFmtId="169" formatCode="_(* #,##0.000_);_(* \(#,##0.000\);_(* &quot;-&quot;??_);_(@_)"/>
    <numFmt numFmtId="170" formatCode="&quot;R$ &quot;#,##0.00"/>
    <numFmt numFmtId="171" formatCode="0.0000"/>
    <numFmt numFmtId="172" formatCode="0.0"/>
    <numFmt numFmtId="173" formatCode="_-* #,##0.0_-;\-* #,##0.0_-;_-* &quot;-&quot;??_-;_-@_-"/>
    <numFmt numFmtId="174" formatCode="_-* #,##0_-;\-* #,##0_-;_-* &quot;-&quot;??_-;_-@_-"/>
    <numFmt numFmtId="175" formatCode="_(* #,##0.0000_);_(* \(#,##0.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73" fontId="32" fillId="0" borderId="0" applyFont="0" applyFill="0" applyBorder="0" applyAlignment="0" applyProtection="0"/>
    <xf numFmtId="0" fontId="10" fillId="0" borderId="0"/>
    <xf numFmtId="0" fontId="8" fillId="0" borderId="0"/>
    <xf numFmtId="165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37">
    <xf numFmtId="0" fontId="0" fillId="0" borderId="0" xfId="0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7" fontId="0" fillId="0" borderId="0" xfId="3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7" fontId="15" fillId="0" borderId="0" xfId="3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167" fontId="15" fillId="0" borderId="2" xfId="3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7" fontId="15" fillId="0" borderId="1" xfId="3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7" fontId="15" fillId="0" borderId="0" xfId="3" applyFont="1" applyAlignment="1">
      <alignment horizontal="center" vertical="center"/>
    </xf>
    <xf numFmtId="167" fontId="12" fillId="2" borderId="4" xfId="3" applyFont="1" applyFill="1" applyBorder="1" applyAlignment="1">
      <alignment horizontal="center" vertical="center"/>
    </xf>
    <xf numFmtId="167" fontId="12" fillId="2" borderId="4" xfId="3" applyFont="1" applyFill="1" applyBorder="1" applyAlignment="1">
      <alignment vertical="center"/>
    </xf>
    <xf numFmtId="167" fontId="12" fillId="0" borderId="0" xfId="3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7" fontId="12" fillId="0" borderId="6" xfId="3" applyFont="1" applyBorder="1" applyAlignment="1">
      <alignment vertical="center"/>
    </xf>
    <xf numFmtId="167" fontId="12" fillId="0" borderId="7" xfId="3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67" fontId="15" fillId="0" borderId="6" xfId="3" applyFont="1" applyBorder="1" applyAlignment="1">
      <alignment vertical="center"/>
    </xf>
    <xf numFmtId="167" fontId="15" fillId="0" borderId="7" xfId="3" applyFont="1" applyBorder="1" applyAlignment="1">
      <alignment vertical="center"/>
    </xf>
    <xf numFmtId="167" fontId="12" fillId="0" borderId="0" xfId="3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167" fontId="12" fillId="0" borderId="0" xfId="3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67" fontId="12" fillId="0" borderId="0" xfId="3" applyFont="1" applyBorder="1" applyAlignment="1">
      <alignment vertical="center"/>
    </xf>
    <xf numFmtId="167" fontId="14" fillId="0" borderId="0" xfId="3" applyFont="1" applyAlignment="1">
      <alignment vertical="center"/>
    </xf>
    <xf numFmtId="168" fontId="15" fillId="0" borderId="1" xfId="3" applyNumberFormat="1" applyFont="1" applyBorder="1" applyAlignment="1">
      <alignment vertical="center"/>
    </xf>
    <xf numFmtId="167" fontId="15" fillId="0" borderId="0" xfId="3" applyFont="1"/>
    <xf numFmtId="167" fontId="13" fillId="0" borderId="0" xfId="3" applyFont="1" applyAlignment="1">
      <alignment vertical="center"/>
    </xf>
    <xf numFmtId="167" fontId="0" fillId="0" borderId="11" xfId="3" applyFont="1" applyBorder="1" applyAlignment="1">
      <alignment vertical="center"/>
    </xf>
    <xf numFmtId="167" fontId="12" fillId="0" borderId="12" xfId="3" applyFont="1" applyBorder="1" applyAlignment="1">
      <alignment horizontal="center" vertical="center"/>
    </xf>
    <xf numFmtId="167" fontId="12" fillId="0" borderId="5" xfId="3" applyFont="1" applyBorder="1" applyAlignment="1">
      <alignment horizontal="left" vertical="center"/>
    </xf>
    <xf numFmtId="4" fontId="12" fillId="0" borderId="6" xfId="0" applyNumberFormat="1" applyFont="1" applyBorder="1" applyAlignment="1">
      <alignment horizontal="centerContinuous" vertical="center"/>
    </xf>
    <xf numFmtId="167" fontId="12" fillId="0" borderId="0" xfId="3" applyFont="1" applyAlignment="1">
      <alignment vertical="center"/>
    </xf>
    <xf numFmtId="167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7" fontId="0" fillId="0" borderId="9" xfId="3" applyFont="1" applyBorder="1" applyAlignment="1">
      <alignment vertical="center"/>
    </xf>
    <xf numFmtId="167" fontId="12" fillId="0" borderId="13" xfId="3" applyFont="1" applyBorder="1" applyAlignment="1">
      <alignment horizontal="right" vertical="center"/>
    </xf>
    <xf numFmtId="167" fontId="0" fillId="0" borderId="14" xfId="3" applyFont="1" applyBorder="1" applyAlignment="1">
      <alignment vertical="center"/>
    </xf>
    <xf numFmtId="167" fontId="15" fillId="0" borderId="1" xfId="3" applyFont="1" applyBorder="1" applyAlignment="1">
      <alignment vertical="center"/>
    </xf>
    <xf numFmtId="0" fontId="20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167" fontId="15" fillId="0" borderId="0" xfId="3" applyFont="1" applyFill="1" applyBorder="1" applyAlignment="1">
      <alignment horizontal="center" vertical="center"/>
    </xf>
    <xf numFmtId="10" fontId="0" fillId="0" borderId="15" xfId="2" applyNumberFormat="1" applyFont="1" applyBorder="1" applyAlignment="1">
      <alignment vertical="center"/>
    </xf>
    <xf numFmtId="167" fontId="15" fillId="0" borderId="0" xfId="3" applyFont="1" applyBorder="1" applyAlignment="1">
      <alignment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167" fontId="22" fillId="2" borderId="17" xfId="3" applyFont="1" applyFill="1" applyBorder="1" applyAlignment="1">
      <alignment horizontal="center" vertical="center"/>
    </xf>
    <xf numFmtId="167" fontId="22" fillId="2" borderId="18" xfId="3" applyFont="1" applyFill="1" applyBorder="1" applyAlignment="1">
      <alignment horizontal="center" vertical="center"/>
    </xf>
    <xf numFmtId="167" fontId="12" fillId="0" borderId="19" xfId="3" applyFont="1" applyBorder="1" applyAlignment="1">
      <alignment horizontal="center" vertical="center"/>
    </xf>
    <xf numFmtId="167" fontId="10" fillId="0" borderId="14" xfId="3" applyFont="1" applyBorder="1" applyAlignment="1">
      <alignment horizontal="left" vertical="center"/>
    </xf>
    <xf numFmtId="167" fontId="15" fillId="0" borderId="9" xfId="3" applyFont="1" applyBorder="1" applyAlignment="1">
      <alignment vertical="center"/>
    </xf>
    <xf numFmtId="167" fontId="15" fillId="0" borderId="14" xfId="3" applyFont="1" applyBorder="1" applyAlignment="1">
      <alignment vertical="center"/>
    </xf>
    <xf numFmtId="168" fontId="15" fillId="0" borderId="0" xfId="3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5" fillId="0" borderId="20" xfId="3" applyNumberFormat="1" applyFont="1" applyBorder="1" applyAlignment="1">
      <alignment horizontal="center" vertical="center"/>
    </xf>
    <xf numFmtId="167" fontId="12" fillId="0" borderId="28" xfId="3" applyFont="1" applyBorder="1" applyAlignment="1">
      <alignment vertical="center"/>
    </xf>
    <xf numFmtId="4" fontId="12" fillId="0" borderId="29" xfId="0" applyNumberFormat="1" applyFont="1" applyBorder="1" applyAlignment="1">
      <alignment vertical="center"/>
    </xf>
    <xf numFmtId="167" fontId="15" fillId="0" borderId="19" xfId="3" applyFont="1" applyBorder="1" applyAlignment="1">
      <alignment vertical="center"/>
    </xf>
    <xf numFmtId="167" fontId="15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15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12" fillId="0" borderId="31" xfId="3" applyNumberFormat="1" applyFont="1" applyBorder="1" applyAlignment="1">
      <alignment horizontal="center" vertical="center"/>
    </xf>
    <xf numFmtId="167" fontId="21" fillId="0" borderId="1" xfId="3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67" fontId="12" fillId="2" borderId="4" xfId="3" applyNumberFormat="1" applyFont="1" applyFill="1" applyBorder="1" applyAlignment="1">
      <alignment horizontal="center" vertical="center"/>
    </xf>
    <xf numFmtId="167" fontId="15" fillId="0" borderId="1" xfId="3" applyFont="1" applyFill="1" applyBorder="1" applyAlignment="1">
      <alignment horizontal="center" vertical="center"/>
    </xf>
    <xf numFmtId="165" fontId="15" fillId="0" borderId="0" xfId="0" applyNumberFormat="1" applyFont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167" fontId="15" fillId="3" borderId="2" xfId="3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167" fontId="15" fillId="3" borderId="1" xfId="3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67" fontId="15" fillId="3" borderId="0" xfId="3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168" fontId="15" fillId="0" borderId="1" xfId="3" applyNumberFormat="1" applyFont="1" applyBorder="1" applyAlignment="1">
      <alignment horizontal="center" vertical="center"/>
    </xf>
    <xf numFmtId="167" fontId="15" fillId="3" borderId="1" xfId="3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5" fillId="3" borderId="2" xfId="0" applyNumberFormat="1" applyFont="1" applyFill="1" applyBorder="1" applyAlignment="1">
      <alignment horizontal="center" vertical="center"/>
    </xf>
    <xf numFmtId="169" fontId="15" fillId="3" borderId="2" xfId="3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168" fontId="15" fillId="0" borderId="1" xfId="3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7" fontId="12" fillId="0" borderId="1" xfId="3" applyFont="1" applyBorder="1" applyAlignment="1">
      <alignment horizontal="center" vertical="center"/>
    </xf>
    <xf numFmtId="167" fontId="15" fillId="0" borderId="2" xfId="3" applyFont="1" applyFill="1" applyBorder="1" applyAlignment="1">
      <alignment horizontal="center" vertical="center"/>
    </xf>
    <xf numFmtId="0" fontId="17" fillId="0" borderId="0" xfId="1" applyAlignment="1" applyProtection="1">
      <alignment vertical="center"/>
    </xf>
    <xf numFmtId="0" fontId="12" fillId="0" borderId="0" xfId="0" applyFont="1"/>
    <xf numFmtId="0" fontId="22" fillId="2" borderId="32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167" fontId="22" fillId="2" borderId="33" xfId="3" applyFont="1" applyFill="1" applyBorder="1" applyAlignment="1">
      <alignment horizontal="center" vertical="center"/>
    </xf>
    <xf numFmtId="167" fontId="12" fillId="0" borderId="1" xfId="3" applyFont="1" applyFill="1" applyBorder="1" applyAlignment="1">
      <alignment horizontal="center" vertical="center"/>
    </xf>
    <xf numFmtId="166" fontId="12" fillId="0" borderId="34" xfId="0" applyNumberFormat="1" applyFont="1" applyBorder="1" applyAlignment="1">
      <alignment vertical="center"/>
    </xf>
    <xf numFmtId="167" fontId="12" fillId="0" borderId="35" xfId="3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167" fontId="12" fillId="0" borderId="0" xfId="3" applyFont="1" applyAlignment="1">
      <alignment horizontal="center" vertical="center"/>
    </xf>
    <xf numFmtId="167" fontId="12" fillId="0" borderId="3" xfId="3" applyFont="1" applyBorder="1" applyAlignment="1">
      <alignment horizontal="center" vertical="center"/>
    </xf>
    <xf numFmtId="2" fontId="15" fillId="0" borderId="1" xfId="3" applyNumberFormat="1" applyFont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7" fontId="15" fillId="0" borderId="0" xfId="3" applyFont="1" applyAlignment="1">
      <alignment horizontal="right" vertical="center"/>
    </xf>
    <xf numFmtId="167" fontId="12" fillId="2" borderId="7" xfId="3" applyFont="1" applyFill="1" applyBorder="1" applyAlignment="1">
      <alignment horizontal="center" vertical="center"/>
    </xf>
    <xf numFmtId="167" fontId="12" fillId="0" borderId="14" xfId="3" applyFont="1" applyBorder="1" applyAlignment="1">
      <alignment vertical="center"/>
    </xf>
    <xf numFmtId="167" fontId="12" fillId="0" borderId="9" xfId="0" applyNumberFormat="1" applyFont="1" applyBorder="1" applyAlignment="1">
      <alignment vertical="center"/>
    </xf>
    <xf numFmtId="167" fontId="12" fillId="0" borderId="9" xfId="3" applyFont="1" applyBorder="1" applyAlignment="1">
      <alignment vertical="center"/>
    </xf>
    <xf numFmtId="10" fontId="12" fillId="0" borderId="15" xfId="2" applyNumberFormat="1" applyFont="1" applyBorder="1" applyAlignment="1">
      <alignment vertical="center"/>
    </xf>
    <xf numFmtId="167" fontId="12" fillId="0" borderId="38" xfId="3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167" fontId="15" fillId="0" borderId="39" xfId="3" applyFont="1" applyBorder="1" applyAlignment="1">
      <alignment vertical="center"/>
    </xf>
    <xf numFmtId="167" fontId="15" fillId="0" borderId="40" xfId="3" applyFont="1" applyBorder="1" applyAlignment="1">
      <alignment vertical="center"/>
    </xf>
    <xf numFmtId="167" fontId="15" fillId="0" borderId="41" xfId="3" applyFont="1" applyBorder="1" applyAlignment="1">
      <alignment vertical="center"/>
    </xf>
    <xf numFmtId="0" fontId="15" fillId="0" borderId="41" xfId="0" applyFont="1" applyBorder="1" applyAlignment="1">
      <alignment vertical="center"/>
    </xf>
    <xf numFmtId="167" fontId="12" fillId="0" borderId="14" xfId="3" applyFont="1" applyBorder="1" applyAlignment="1">
      <alignment horizontal="left" vertical="center"/>
    </xf>
    <xf numFmtId="4" fontId="12" fillId="0" borderId="9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7" fontId="15" fillId="6" borderId="1" xfId="3" applyFont="1" applyFill="1" applyBorder="1" applyAlignment="1">
      <alignment horizontal="center" vertical="center"/>
    </xf>
    <xf numFmtId="167" fontId="15" fillId="6" borderId="1" xfId="3" applyFont="1" applyFill="1" applyBorder="1" applyAlignment="1">
      <alignment vertical="center"/>
    </xf>
    <xf numFmtId="9" fontId="12" fillId="0" borderId="18" xfId="2" applyFont="1" applyBorder="1" applyAlignment="1">
      <alignment vertical="center"/>
    </xf>
    <xf numFmtId="10" fontId="15" fillId="0" borderId="15" xfId="2" applyNumberFormat="1" applyFont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167" fontId="15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7" fontId="0" fillId="0" borderId="0" xfId="3" applyFont="1" applyFill="1" applyBorder="1" applyAlignment="1">
      <alignment vertical="center"/>
    </xf>
    <xf numFmtId="167" fontId="0" fillId="0" borderId="39" xfId="3" applyFont="1" applyFill="1" applyBorder="1" applyAlignment="1">
      <alignment vertical="center"/>
    </xf>
    <xf numFmtId="0" fontId="15" fillId="0" borderId="1" xfId="0" applyNumberFormat="1" applyFont="1" applyBorder="1" applyAlignment="1">
      <alignment horizontal="center" vertical="center"/>
    </xf>
    <xf numFmtId="168" fontId="12" fillId="0" borderId="0" xfId="3" applyNumberFormat="1" applyFont="1" applyBorder="1" applyAlignment="1">
      <alignment horizontal="center" vertical="center"/>
    </xf>
    <xf numFmtId="0" fontId="25" fillId="0" borderId="14" xfId="0" applyFont="1" applyBorder="1"/>
    <xf numFmtId="0" fontId="15" fillId="0" borderId="0" xfId="0" applyFont="1" applyBorder="1"/>
    <xf numFmtId="0" fontId="25" fillId="0" borderId="47" xfId="0" applyFont="1" applyBorder="1"/>
    <xf numFmtId="0" fontId="25" fillId="3" borderId="20" xfId="0" applyFont="1" applyFill="1" applyBorder="1"/>
    <xf numFmtId="0" fontId="25" fillId="0" borderId="23" xfId="0" applyFont="1" applyBorder="1"/>
    <xf numFmtId="0" fontId="25" fillId="0" borderId="51" xfId="0" applyFont="1" applyBorder="1"/>
    <xf numFmtId="0" fontId="25" fillId="0" borderId="48" xfId="0" applyFont="1" applyBorder="1"/>
    <xf numFmtId="0" fontId="25" fillId="0" borderId="52" xfId="0" applyFont="1" applyBorder="1"/>
    <xf numFmtId="0" fontId="25" fillId="0" borderId="20" xfId="0" applyFont="1" applyBorder="1"/>
    <xf numFmtId="0" fontId="25" fillId="0" borderId="28" xfId="0" applyFont="1" applyBorder="1"/>
    <xf numFmtId="2" fontId="26" fillId="7" borderId="1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2" fontId="26" fillId="7" borderId="36" xfId="0" applyNumberFormat="1" applyFont="1" applyFill="1" applyBorder="1" applyAlignment="1">
      <alignment horizontal="right" vertical="center"/>
    </xf>
    <xf numFmtId="0" fontId="26" fillId="0" borderId="23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10" fontId="26" fillId="0" borderId="20" xfId="0" applyNumberFormat="1" applyFont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10" fontId="27" fillId="0" borderId="20" xfId="0" applyNumberFormat="1" applyFont="1" applyBorder="1" applyAlignment="1">
      <alignment horizontal="right" vertical="center"/>
    </xf>
    <xf numFmtId="0" fontId="26" fillId="5" borderId="23" xfId="0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 vertical="center"/>
    </xf>
    <xf numFmtId="10" fontId="27" fillId="5" borderId="20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10" fontId="15" fillId="0" borderId="0" xfId="0" applyNumberFormat="1" applyFont="1"/>
    <xf numFmtId="9" fontId="26" fillId="0" borderId="0" xfId="2" applyFont="1" applyBorder="1" applyAlignment="1">
      <alignment horizontal="right" vertical="center"/>
    </xf>
    <xf numFmtId="10" fontId="15" fillId="0" borderId="0" xfId="0" applyNumberFormat="1" applyFont="1" applyBorder="1"/>
    <xf numFmtId="0" fontId="26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26" fillId="9" borderId="24" xfId="0" applyFont="1" applyFill="1" applyBorder="1" applyAlignment="1">
      <alignment horizontal="left" vertical="center"/>
    </xf>
    <xf numFmtId="0" fontId="27" fillId="9" borderId="36" xfId="0" applyFont="1" applyFill="1" applyBorder="1" applyAlignment="1">
      <alignment horizontal="left" vertical="center"/>
    </xf>
    <xf numFmtId="10" fontId="27" fillId="9" borderId="37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 vertical="center"/>
    </xf>
    <xf numFmtId="10" fontId="27" fillId="0" borderId="0" xfId="0" applyNumberFormat="1" applyFont="1" applyFill="1" applyBorder="1" applyAlignment="1">
      <alignment horizontal="right" vertical="center"/>
    </xf>
    <xf numFmtId="0" fontId="29" fillId="4" borderId="0" xfId="0" applyFont="1" applyFill="1" applyBorder="1" applyAlignment="1">
      <alignment horizontal="left" vertical="center"/>
    </xf>
    <xf numFmtId="10" fontId="26" fillId="0" borderId="0" xfId="0" applyNumberFormat="1" applyFont="1" applyFill="1" applyBorder="1" applyAlignment="1">
      <alignment horizontal="right" vertical="center"/>
    </xf>
    <xf numFmtId="0" fontId="26" fillId="4" borderId="0" xfId="0" applyFont="1" applyFill="1" applyBorder="1" applyAlignment="1">
      <alignment horizontal="left" vertical="center"/>
    </xf>
    <xf numFmtId="10" fontId="26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10" fontId="27" fillId="0" borderId="0" xfId="0" applyNumberFormat="1" applyFont="1" applyBorder="1" applyAlignment="1">
      <alignment horizontal="right" vertical="center"/>
    </xf>
    <xf numFmtId="0" fontId="30" fillId="0" borderId="0" xfId="0" applyFont="1" applyBorder="1" applyAlignment="1">
      <alignment horizontal="justify" vertical="center"/>
    </xf>
    <xf numFmtId="0" fontId="17" fillId="0" borderId="0" xfId="1" applyFont="1" applyBorder="1" applyAlignment="1" applyProtection="1">
      <alignment horizontal="left" vertical="center"/>
    </xf>
    <xf numFmtId="0" fontId="31" fillId="0" borderId="0" xfId="0" applyFont="1" applyBorder="1"/>
    <xf numFmtId="0" fontId="26" fillId="0" borderId="0" xfId="0" applyFont="1" applyBorder="1" applyAlignment="1">
      <alignment horizontal="right" vertical="center"/>
    </xf>
    <xf numFmtId="0" fontId="17" fillId="0" borderId="0" xfId="1" applyFont="1" applyBorder="1" applyAlignment="1" applyProtection="1">
      <alignment vertical="center"/>
    </xf>
    <xf numFmtId="0" fontId="14" fillId="0" borderId="15" xfId="0" applyFont="1" applyBorder="1"/>
    <xf numFmtId="0" fontId="14" fillId="0" borderId="23" xfId="0" applyFont="1" applyBorder="1"/>
    <xf numFmtId="0" fontId="14" fillId="3" borderId="20" xfId="0" applyFont="1" applyFill="1" applyBorder="1"/>
    <xf numFmtId="0" fontId="14" fillId="0" borderId="47" xfId="0" applyFont="1" applyBorder="1"/>
    <xf numFmtId="0" fontId="14" fillId="3" borderId="48" xfId="0" applyFont="1" applyFill="1" applyBorder="1"/>
    <xf numFmtId="0" fontId="14" fillId="0" borderId="49" xfId="0" applyFont="1" applyBorder="1"/>
    <xf numFmtId="0" fontId="14" fillId="3" borderId="50" xfId="0" applyFont="1" applyFill="1" applyBorder="1"/>
    <xf numFmtId="0" fontId="14" fillId="0" borderId="38" xfId="0" applyFont="1" applyBorder="1"/>
    <xf numFmtId="0" fontId="14" fillId="0" borderId="39" xfId="0" applyFont="1" applyBorder="1"/>
    <xf numFmtId="0" fontId="16" fillId="0" borderId="48" xfId="0" applyFont="1" applyBorder="1"/>
    <xf numFmtId="9" fontId="16" fillId="0" borderId="48" xfId="0" applyNumberFormat="1" applyFont="1" applyBorder="1"/>
    <xf numFmtId="0" fontId="16" fillId="0" borderId="38" xfId="0" applyFont="1" applyFill="1" applyBorder="1" applyAlignment="1">
      <alignment horizontal="left" vertical="center"/>
    </xf>
    <xf numFmtId="0" fontId="14" fillId="0" borderId="0" xfId="0" applyFont="1" applyBorder="1"/>
    <xf numFmtId="9" fontId="14" fillId="0" borderId="23" xfId="2" applyFont="1" applyBorder="1"/>
    <xf numFmtId="9" fontId="14" fillId="0" borderId="1" xfId="2" applyFont="1" applyBorder="1" applyAlignment="1">
      <alignment horizontal="center"/>
    </xf>
    <xf numFmtId="9" fontId="14" fillId="0" borderId="20" xfId="2" applyFont="1" applyBorder="1"/>
    <xf numFmtId="0" fontId="14" fillId="0" borderId="21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center" vertical="center"/>
    </xf>
    <xf numFmtId="10" fontId="14" fillId="3" borderId="1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/>
    <xf numFmtId="0" fontId="14" fillId="0" borderId="2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0" fontId="14" fillId="3" borderId="20" xfId="0" applyNumberFormat="1" applyFont="1" applyFill="1" applyBorder="1" applyAlignment="1">
      <alignment horizontal="center" vertical="center"/>
    </xf>
    <xf numFmtId="10" fontId="14" fillId="0" borderId="20" xfId="0" applyNumberFormat="1" applyFont="1" applyFill="1" applyBorder="1" applyAlignment="1">
      <alignment horizontal="center" vertical="center"/>
    </xf>
    <xf numFmtId="10" fontId="14" fillId="3" borderId="1" xfId="2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0" borderId="20" xfId="0" applyFont="1" applyBorder="1"/>
    <xf numFmtId="0" fontId="14" fillId="0" borderId="24" xfId="0" applyFont="1" applyFill="1" applyBorder="1" applyAlignment="1">
      <alignment horizontal="left" vertical="center"/>
    </xf>
    <xf numFmtId="10" fontId="14" fillId="3" borderId="37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5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10" fontId="14" fillId="0" borderId="27" xfId="0" applyNumberFormat="1" applyFont="1" applyFill="1" applyBorder="1" applyAlignment="1">
      <alignment vertical="center"/>
    </xf>
    <xf numFmtId="0" fontId="14" fillId="0" borderId="28" xfId="0" applyFont="1" applyFill="1" applyBorder="1" applyAlignment="1">
      <alignment horizontal="left" vertical="center"/>
    </xf>
    <xf numFmtId="0" fontId="14" fillId="0" borderId="29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/>
    </xf>
    <xf numFmtId="10" fontId="16" fillId="5" borderId="7" xfId="0" applyNumberFormat="1" applyFont="1" applyFill="1" applyBorder="1" applyAlignment="1">
      <alignment horizontal="center" vertical="center" wrapText="1"/>
    </xf>
    <xf numFmtId="10" fontId="14" fillId="0" borderId="23" xfId="2" applyNumberFormat="1" applyFont="1" applyBorder="1" applyAlignment="1">
      <alignment horizontal="right"/>
    </xf>
    <xf numFmtId="10" fontId="14" fillId="0" borderId="1" xfId="2" applyNumberFormat="1" applyFont="1" applyBorder="1" applyAlignment="1">
      <alignment horizontal="right"/>
    </xf>
    <xf numFmtId="10" fontId="14" fillId="0" borderId="20" xfId="2" applyNumberFormat="1" applyFont="1" applyBorder="1" applyAlignment="1">
      <alignment horizontal="right"/>
    </xf>
    <xf numFmtId="10" fontId="14" fillId="0" borderId="24" xfId="2" applyNumberFormat="1" applyFont="1" applyBorder="1" applyAlignment="1">
      <alignment horizontal="right"/>
    </xf>
    <xf numFmtId="10" fontId="14" fillId="0" borderId="36" xfId="2" applyNumberFormat="1" applyFont="1" applyBorder="1" applyAlignment="1">
      <alignment horizontal="right"/>
    </xf>
    <xf numFmtId="10" fontId="14" fillId="0" borderId="37" xfId="2" applyNumberFormat="1" applyFont="1" applyBorder="1" applyAlignment="1">
      <alignment horizontal="right"/>
    </xf>
    <xf numFmtId="1" fontId="15" fillId="0" borderId="0" xfId="3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167" fontId="15" fillId="3" borderId="9" xfId="3" applyNumberFormat="1" applyFont="1" applyFill="1" applyBorder="1" applyAlignment="1">
      <alignment vertical="center"/>
    </xf>
    <xf numFmtId="167" fontId="15" fillId="0" borderId="10" xfId="3" applyFont="1" applyBorder="1" applyAlignment="1">
      <alignment vertical="center"/>
    </xf>
    <xf numFmtId="167" fontId="12" fillId="0" borderId="7" xfId="3" applyFont="1" applyBorder="1" applyAlignment="1">
      <alignment horizontal="right" vertical="center"/>
    </xf>
    <xf numFmtId="167" fontId="12" fillId="2" borderId="4" xfId="3" applyFont="1" applyFill="1" applyBorder="1" applyAlignment="1">
      <alignment horizontal="right" vertical="center"/>
    </xf>
    <xf numFmtId="170" fontId="12" fillId="0" borderId="1" xfId="0" applyNumberFormat="1" applyFont="1" applyBorder="1" applyAlignment="1">
      <alignment vertical="center"/>
    </xf>
    <xf numFmtId="170" fontId="0" fillId="0" borderId="1" xfId="0" applyNumberFormat="1" applyBorder="1" applyAlignment="1">
      <alignment vertical="center"/>
    </xf>
    <xf numFmtId="170" fontId="12" fillId="0" borderId="36" xfId="0" applyNumberFormat="1" applyFont="1" applyBorder="1" applyAlignment="1">
      <alignment vertical="center"/>
    </xf>
    <xf numFmtId="167" fontId="12" fillId="0" borderId="11" xfId="3" applyFont="1" applyBorder="1" applyAlignment="1">
      <alignment vertical="center"/>
    </xf>
    <xf numFmtId="167" fontId="12" fillId="0" borderId="5" xfId="3" applyFont="1" applyBorder="1" applyAlignment="1">
      <alignment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7" fontId="12" fillId="0" borderId="9" xfId="3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169" fontId="15" fillId="0" borderId="1" xfId="3" applyNumberFormat="1" applyFont="1" applyBorder="1" applyAlignment="1">
      <alignment horizontal="center" vertical="center"/>
    </xf>
    <xf numFmtId="168" fontId="12" fillId="0" borderId="1" xfId="3" applyNumberFormat="1" applyFont="1" applyBorder="1" applyAlignment="1">
      <alignment horizontal="center" vertical="center"/>
    </xf>
    <xf numFmtId="169" fontId="12" fillId="0" borderId="1" xfId="3" applyNumberFormat="1" applyFont="1" applyBorder="1" applyAlignment="1">
      <alignment horizontal="center" vertical="center"/>
    </xf>
    <xf numFmtId="169" fontId="15" fillId="0" borderId="2" xfId="3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0" xfId="0" applyFont="1"/>
    <xf numFmtId="171" fontId="25" fillId="0" borderId="48" xfId="0" applyNumberFormat="1" applyFont="1" applyBorder="1"/>
    <xf numFmtId="171" fontId="16" fillId="0" borderId="48" xfId="0" applyNumberFormat="1" applyFont="1" applyBorder="1"/>
    <xf numFmtId="171" fontId="16" fillId="0" borderId="31" xfId="0" applyNumberFormat="1" applyFont="1" applyBorder="1"/>
    <xf numFmtId="0" fontId="12" fillId="0" borderId="53" xfId="0" applyFont="1" applyBorder="1" applyAlignment="1">
      <alignment vertical="center"/>
    </xf>
    <xf numFmtId="0" fontId="12" fillId="0" borderId="53" xfId="0" applyFont="1" applyBorder="1" applyAlignment="1">
      <alignment horizontal="center" vertical="center"/>
    </xf>
    <xf numFmtId="167" fontId="12" fillId="0" borderId="53" xfId="3" applyFont="1" applyBorder="1" applyAlignment="1">
      <alignment horizontal="center" vertical="center"/>
    </xf>
    <xf numFmtId="167" fontId="12" fillId="0" borderId="53" xfId="3" applyFont="1" applyFill="1" applyBorder="1" applyAlignment="1">
      <alignment horizontal="center" vertical="center"/>
    </xf>
    <xf numFmtId="0" fontId="14" fillId="0" borderId="23" xfId="0" applyFont="1" applyBorder="1" applyAlignment="1">
      <alignment horizontal="right"/>
    </xf>
    <xf numFmtId="0" fontId="33" fillId="0" borderId="0" xfId="4" applyFont="1"/>
    <xf numFmtId="0" fontId="9" fillId="0" borderId="0" xfId="4"/>
    <xf numFmtId="0" fontId="33" fillId="0" borderId="1" xfId="4" applyFont="1" applyBorder="1"/>
    <xf numFmtId="0" fontId="33" fillId="0" borderId="1" xfId="4" applyFont="1" applyBorder="1" applyAlignment="1">
      <alignment horizontal="center"/>
    </xf>
    <xf numFmtId="20" fontId="33" fillId="0" borderId="1" xfId="4" applyNumberFormat="1" applyFont="1" applyBorder="1"/>
    <xf numFmtId="0" fontId="9" fillId="0" borderId="1" xfId="4" applyBorder="1"/>
    <xf numFmtId="0" fontId="9" fillId="0" borderId="8" xfId="4" applyBorder="1"/>
    <xf numFmtId="0" fontId="9" fillId="0" borderId="9" xfId="4" applyBorder="1"/>
    <xf numFmtId="0" fontId="33" fillId="0" borderId="8" xfId="4" applyFont="1" applyBorder="1"/>
    <xf numFmtId="0" fontId="33" fillId="0" borderId="9" xfId="4" applyFont="1" applyBorder="1"/>
    <xf numFmtId="10" fontId="12" fillId="3" borderId="7" xfId="2" applyNumberFormat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2" fontId="15" fillId="0" borderId="37" xfId="3" applyNumberFormat="1" applyFont="1" applyBorder="1" applyAlignment="1">
      <alignment horizontal="center" vertical="center"/>
    </xf>
    <xf numFmtId="10" fontId="9" fillId="0" borderId="0" xfId="2" applyNumberFormat="1" applyFont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7" fontId="10" fillId="3" borderId="2" xfId="3" applyFont="1" applyFill="1" applyBorder="1" applyAlignment="1">
      <alignment horizontal="center" vertical="center"/>
    </xf>
    <xf numFmtId="167" fontId="10" fillId="3" borderId="1" xfId="3" applyNumberFormat="1" applyFont="1" applyFill="1" applyBorder="1" applyAlignment="1">
      <alignment horizontal="center" vertical="center"/>
    </xf>
    <xf numFmtId="167" fontId="10" fillId="3" borderId="1" xfId="3" applyFont="1" applyFill="1" applyBorder="1" applyAlignment="1">
      <alignment horizontal="center" vertical="center"/>
    </xf>
    <xf numFmtId="167" fontId="12" fillId="0" borderId="1" xfId="3" applyFont="1" applyBorder="1"/>
    <xf numFmtId="167" fontId="10" fillId="0" borderId="1" xfId="3" applyFont="1" applyBorder="1"/>
    <xf numFmtId="0" fontId="8" fillId="0" borderId="8" xfId="4" applyFont="1" applyBorder="1"/>
    <xf numFmtId="0" fontId="33" fillId="0" borderId="0" xfId="17" applyFont="1"/>
    <xf numFmtId="0" fontId="7" fillId="0" borderId="0" xfId="17"/>
    <xf numFmtId="0" fontId="33" fillId="0" borderId="1" xfId="17" applyFont="1" applyBorder="1" applyAlignment="1">
      <alignment horizontal="center"/>
    </xf>
    <xf numFmtId="0" fontId="7" fillId="0" borderId="1" xfId="17" applyBorder="1" applyAlignment="1">
      <alignment horizontal="center"/>
    </xf>
    <xf numFmtId="17" fontId="7" fillId="0" borderId="1" xfId="17" applyNumberFormat="1" applyBorder="1" applyAlignment="1">
      <alignment horizontal="center"/>
    </xf>
    <xf numFmtId="174" fontId="0" fillId="0" borderId="1" xfId="18" applyNumberFormat="1" applyFont="1" applyBorder="1" applyAlignment="1">
      <alignment horizontal="center"/>
    </xf>
    <xf numFmtId="165" fontId="0" fillId="0" borderId="0" xfId="18" applyFont="1"/>
    <xf numFmtId="0" fontId="33" fillId="0" borderId="1" xfId="17" applyFont="1" applyBorder="1"/>
    <xf numFmtId="0" fontId="7" fillId="0" borderId="1" xfId="17" applyBorder="1"/>
    <xf numFmtId="0" fontId="7" fillId="0" borderId="1" xfId="17" applyFill="1" applyBorder="1" applyAlignment="1">
      <alignment horizontal="right"/>
    </xf>
    <xf numFmtId="165" fontId="7" fillId="0" borderId="0" xfId="17" applyNumberFormat="1"/>
    <xf numFmtId="174" fontId="0" fillId="0" borderId="1" xfId="18" applyNumberFormat="1" applyFont="1" applyBorder="1" applyAlignment="1"/>
    <xf numFmtId="167" fontId="7" fillId="0" borderId="0" xfId="3" applyFont="1"/>
    <xf numFmtId="167" fontId="15" fillId="0" borderId="3" xfId="3" applyFont="1" applyBorder="1" applyAlignment="1">
      <alignment horizontal="center" vertical="center"/>
    </xf>
    <xf numFmtId="10" fontId="33" fillId="0" borderId="1" xfId="2" applyNumberFormat="1" applyFont="1" applyBorder="1"/>
    <xf numFmtId="167" fontId="12" fillId="0" borderId="14" xfId="3" applyFont="1" applyBorder="1" applyAlignment="1">
      <alignment horizontal="left" vertical="center"/>
    </xf>
    <xf numFmtId="165" fontId="15" fillId="0" borderId="1" xfId="0" applyNumberFormat="1" applyFont="1" applyBorder="1" applyAlignment="1">
      <alignment horizontal="center" vertical="center"/>
    </xf>
    <xf numFmtId="165" fontId="7" fillId="0" borderId="1" xfId="17" applyNumberFormat="1" applyBorder="1"/>
    <xf numFmtId="0" fontId="12" fillId="0" borderId="0" xfId="14" applyFont="1"/>
    <xf numFmtId="0" fontId="10" fillId="0" borderId="0" xfId="14"/>
    <xf numFmtId="0" fontId="10" fillId="0" borderId="1" xfId="14" applyFont="1" applyBorder="1" applyAlignment="1">
      <alignment vertical="center"/>
    </xf>
    <xf numFmtId="0" fontId="10" fillId="0" borderId="1" xfId="14" applyBorder="1"/>
    <xf numFmtId="0" fontId="12" fillId="0" borderId="1" xfId="14" applyFont="1" applyBorder="1"/>
    <xf numFmtId="165" fontId="12" fillId="0" borderId="1" xfId="14" applyNumberFormat="1" applyFont="1" applyBorder="1"/>
    <xf numFmtId="0" fontId="12" fillId="0" borderId="1" xfId="14" applyFont="1" applyBorder="1" applyAlignment="1">
      <alignment vertical="center"/>
    </xf>
    <xf numFmtId="0" fontId="10" fillId="0" borderId="1" xfId="14" applyFont="1" applyBorder="1"/>
    <xf numFmtId="0" fontId="12" fillId="0" borderId="54" xfId="14" applyFont="1" applyFill="1" applyBorder="1"/>
    <xf numFmtId="167" fontId="0" fillId="3" borderId="1" xfId="3" applyFont="1" applyFill="1" applyBorder="1"/>
    <xf numFmtId="0" fontId="10" fillId="0" borderId="0" xfId="14" applyBorder="1"/>
    <xf numFmtId="13" fontId="15" fillId="3" borderId="1" xfId="0" applyNumberFormat="1" applyFont="1" applyFill="1" applyBorder="1" applyAlignment="1">
      <alignment vertical="center"/>
    </xf>
    <xf numFmtId="13" fontId="10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center" vertical="center"/>
    </xf>
    <xf numFmtId="13" fontId="15" fillId="3" borderId="1" xfId="0" applyNumberFormat="1" applyFont="1" applyFill="1" applyBorder="1" applyAlignment="1">
      <alignment horizontal="right" vertical="center"/>
    </xf>
    <xf numFmtId="170" fontId="12" fillId="0" borderId="3" xfId="0" applyNumberFormat="1" applyFont="1" applyBorder="1" applyAlignment="1">
      <alignment vertical="center"/>
    </xf>
    <xf numFmtId="175" fontId="15" fillId="0" borderId="1" xfId="3" applyNumberFormat="1" applyFont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67" fontId="12" fillId="2" borderId="1" xfId="3" applyFont="1" applyFill="1" applyBorder="1" applyAlignment="1">
      <alignment horizontal="right" vertical="center"/>
    </xf>
    <xf numFmtId="167" fontId="12" fillId="0" borderId="1" xfId="3" applyFont="1" applyBorder="1" applyAlignment="1">
      <alignment vertical="center"/>
    </xf>
    <xf numFmtId="0" fontId="33" fillId="0" borderId="0" xfId="4" applyFont="1" applyBorder="1"/>
    <xf numFmtId="0" fontId="7" fillId="0" borderId="0" xfId="17" applyBorder="1"/>
    <xf numFmtId="167" fontId="10" fillId="0" borderId="0" xfId="3" applyFont="1" applyBorder="1"/>
    <xf numFmtId="0" fontId="4" fillId="0" borderId="1" xfId="17" applyFont="1" applyBorder="1"/>
    <xf numFmtId="0" fontId="3" fillId="0" borderId="0" xfId="25"/>
    <xf numFmtId="0" fontId="3" fillId="0" borderId="0" xfId="25" applyBorder="1"/>
    <xf numFmtId="0" fontId="3" fillId="0" borderId="0" xfId="25" applyBorder="1" applyAlignment="1"/>
    <xf numFmtId="0" fontId="3" fillId="0" borderId="0" xfId="25" applyBorder="1" applyAlignment="1">
      <alignment horizontal="center"/>
    </xf>
    <xf numFmtId="0" fontId="3" fillId="0" borderId="1" xfId="25" applyBorder="1" applyAlignment="1">
      <alignment horizontal="center"/>
    </xf>
    <xf numFmtId="2" fontId="3" fillId="0" borderId="0" xfId="25" applyNumberFormat="1" applyBorder="1" applyAlignment="1">
      <alignment horizontal="center" wrapText="1"/>
    </xf>
    <xf numFmtId="0" fontId="3" fillId="0" borderId="8" xfId="25" applyBorder="1" applyAlignment="1">
      <alignment horizontal="center" vertical="center"/>
    </xf>
    <xf numFmtId="0" fontId="3" fillId="0" borderId="8" xfId="25" applyBorder="1" applyAlignment="1">
      <alignment horizontal="right" vertical="center"/>
    </xf>
    <xf numFmtId="0" fontId="3" fillId="0" borderId="10" xfId="25" applyBorder="1" applyAlignment="1">
      <alignment horizontal="left" vertical="center"/>
    </xf>
    <xf numFmtId="0" fontId="3" fillId="0" borderId="10" xfId="25" applyBorder="1" applyAlignment="1">
      <alignment horizontal="center"/>
    </xf>
    <xf numFmtId="2" fontId="3" fillId="0" borderId="1" xfId="25" applyNumberFormat="1" applyBorder="1"/>
    <xf numFmtId="2" fontId="3" fillId="0" borderId="0" xfId="25" applyNumberFormat="1" applyBorder="1" applyAlignment="1">
      <alignment horizontal="center"/>
    </xf>
    <xf numFmtId="0" fontId="3" fillId="0" borderId="0" xfId="25" applyBorder="1" applyAlignment="1">
      <alignment vertical="center" wrapText="1"/>
    </xf>
    <xf numFmtId="2" fontId="3" fillId="0" borderId="0" xfId="25" applyNumberFormat="1" applyBorder="1"/>
    <xf numFmtId="0" fontId="3" fillId="0" borderId="58" xfId="25" applyBorder="1" applyAlignment="1">
      <alignment horizontal="right" vertical="center"/>
    </xf>
    <xf numFmtId="0" fontId="3" fillId="0" borderId="59" xfId="25" applyBorder="1" applyAlignment="1">
      <alignment horizontal="left" vertical="center"/>
    </xf>
    <xf numFmtId="0" fontId="3" fillId="0" borderId="0" xfId="25" applyAlignment="1">
      <alignment horizontal="center"/>
    </xf>
    <xf numFmtId="2" fontId="33" fillId="0" borderId="1" xfId="25" applyNumberFormat="1" applyFont="1" applyBorder="1"/>
    <xf numFmtId="0" fontId="3" fillId="0" borderId="1" xfId="25" applyBorder="1" applyAlignment="1"/>
    <xf numFmtId="2" fontId="3" fillId="0" borderId="0" xfId="25" applyNumberFormat="1" applyBorder="1" applyAlignment="1"/>
    <xf numFmtId="167" fontId="33" fillId="0" borderId="1" xfId="3" applyFont="1" applyBorder="1" applyAlignment="1"/>
    <xf numFmtId="0" fontId="33" fillId="0" borderId="1" xfId="25" applyFont="1" applyBorder="1" applyAlignment="1"/>
    <xf numFmtId="167" fontId="33" fillId="0" borderId="1" xfId="3" applyFont="1" applyBorder="1"/>
    <xf numFmtId="167" fontId="9" fillId="0" borderId="1" xfId="3" applyFont="1" applyBorder="1"/>
    <xf numFmtId="0" fontId="2" fillId="0" borderId="0" xfId="4" applyFont="1"/>
    <xf numFmtId="2" fontId="15" fillId="0" borderId="1" xfId="0" applyNumberFormat="1" applyFont="1" applyBorder="1" applyAlignment="1">
      <alignment horizontal="center" vertical="center"/>
    </xf>
    <xf numFmtId="169" fontId="15" fillId="0" borderId="1" xfId="3" applyNumberFormat="1" applyFont="1" applyBorder="1" applyAlignment="1">
      <alignment vertical="center"/>
    </xf>
    <xf numFmtId="0" fontId="1" fillId="0" borderId="1" xfId="27" applyBorder="1" applyAlignment="1">
      <alignment horizontal="center"/>
    </xf>
    <xf numFmtId="0" fontId="1" fillId="0" borderId="8" xfId="27" applyBorder="1" applyAlignment="1">
      <alignment horizontal="center" vertical="center"/>
    </xf>
    <xf numFmtId="0" fontId="1" fillId="0" borderId="8" xfId="27" applyBorder="1" applyAlignment="1">
      <alignment horizontal="right" vertical="center"/>
    </xf>
    <xf numFmtId="49" fontId="1" fillId="0" borderId="1" xfId="27" applyNumberFormat="1" applyBorder="1" applyAlignment="1">
      <alignment horizontal="center"/>
    </xf>
    <xf numFmtId="172" fontId="0" fillId="0" borderId="1" xfId="28" applyNumberFormat="1" applyFont="1" applyBorder="1" applyAlignment="1">
      <alignment horizontal="right"/>
    </xf>
    <xf numFmtId="0" fontId="1" fillId="0" borderId="1" xfId="27" applyBorder="1"/>
    <xf numFmtId="2" fontId="33" fillId="0" borderId="1" xfId="28" applyNumberFormat="1" applyFont="1" applyBorder="1"/>
    <xf numFmtId="0" fontId="1" fillId="0" borderId="1" xfId="27" applyFill="1" applyBorder="1"/>
    <xf numFmtId="172" fontId="33" fillId="0" borderId="1" xfId="28" applyNumberFormat="1" applyFont="1" applyBorder="1"/>
    <xf numFmtId="2" fontId="33" fillId="0" borderId="1" xfId="28" applyNumberFormat="1" applyFont="1" applyBorder="1" applyAlignment="1">
      <alignment horizontal="right"/>
    </xf>
    <xf numFmtId="169" fontId="9" fillId="0" borderId="1" xfId="3" applyNumberFormat="1" applyFont="1" applyBorder="1"/>
    <xf numFmtId="165" fontId="1" fillId="0" borderId="0" xfId="17" applyNumberFormat="1" applyFont="1"/>
    <xf numFmtId="167" fontId="15" fillId="3" borderId="1" xfId="3" applyFont="1" applyFill="1" applyBorder="1" applyAlignment="1">
      <alignment vertical="center"/>
    </xf>
    <xf numFmtId="167" fontId="15" fillId="0" borderId="0" xfId="3" applyFont="1" applyFill="1" applyAlignment="1">
      <alignment vertical="center"/>
    </xf>
    <xf numFmtId="4" fontId="34" fillId="0" borderId="0" xfId="0" applyNumberFormat="1" applyFont="1"/>
    <xf numFmtId="167" fontId="10" fillId="0" borderId="1" xfId="3" applyFont="1" applyBorder="1" applyAlignment="1">
      <alignment horizontal="center" vertical="center"/>
    </xf>
    <xf numFmtId="169" fontId="10" fillId="0" borderId="1" xfId="3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167" fontId="12" fillId="0" borderId="14" xfId="3" applyFont="1" applyBorder="1" applyAlignment="1">
      <alignment horizontal="left" vertical="center"/>
    </xf>
    <xf numFmtId="167" fontId="12" fillId="0" borderId="9" xfId="3" applyFont="1" applyBorder="1" applyAlignment="1">
      <alignment horizontal="left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24" fillId="8" borderId="27" xfId="0" applyFont="1" applyFill="1" applyBorder="1" applyAlignment="1">
      <alignment horizontal="center" vertical="center"/>
    </xf>
    <xf numFmtId="0" fontId="16" fillId="8" borderId="44" xfId="0" applyFont="1" applyFill="1" applyBorder="1" applyAlignment="1">
      <alignment horizontal="center" vertical="center"/>
    </xf>
    <xf numFmtId="0" fontId="16" fillId="8" borderId="42" xfId="0" applyFont="1" applyFill="1" applyBorder="1" applyAlignment="1">
      <alignment horizontal="center" vertical="center"/>
    </xf>
    <xf numFmtId="0" fontId="16" fillId="8" borderId="45" xfId="0" applyFont="1" applyFill="1" applyBorder="1" applyAlignment="1">
      <alignment horizontal="center" vertical="center"/>
    </xf>
    <xf numFmtId="167" fontId="12" fillId="0" borderId="5" xfId="3" applyFont="1" applyBorder="1" applyAlignment="1">
      <alignment horizontal="center" vertical="center"/>
    </xf>
    <xf numFmtId="167" fontId="12" fillId="0" borderId="6" xfId="3" applyFont="1" applyBorder="1" applyAlignment="1">
      <alignment horizontal="center" vertical="center"/>
    </xf>
    <xf numFmtId="167" fontId="12" fillId="0" borderId="43" xfId="3" applyFont="1" applyBorder="1" applyAlignment="1">
      <alignment horizontal="center" vertical="center"/>
    </xf>
    <xf numFmtId="167" fontId="13" fillId="8" borderId="5" xfId="3" applyFont="1" applyFill="1" applyBorder="1" applyAlignment="1">
      <alignment horizontal="center" vertical="center"/>
    </xf>
    <xf numFmtId="167" fontId="13" fillId="8" borderId="6" xfId="3" applyFont="1" applyFill="1" applyBorder="1" applyAlignment="1">
      <alignment horizontal="center" vertical="center"/>
    </xf>
    <xf numFmtId="167" fontId="13" fillId="8" borderId="7" xfId="3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12" xfId="0" applyFont="1" applyFill="1" applyBorder="1" applyAlignment="1">
      <alignment horizontal="center" vertical="center"/>
    </xf>
    <xf numFmtId="0" fontId="24" fillId="10" borderId="19" xfId="0" applyFont="1" applyFill="1" applyBorder="1" applyAlignment="1">
      <alignment horizontal="center"/>
    </xf>
    <xf numFmtId="0" fontId="24" fillId="10" borderId="46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4" fillId="0" borderId="1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9" fontId="16" fillId="0" borderId="21" xfId="2" applyFont="1" applyBorder="1" applyAlignment="1">
      <alignment horizontal="center"/>
    </xf>
    <xf numFmtId="9" fontId="16" fillId="0" borderId="22" xfId="2" applyFont="1" applyBorder="1" applyAlignment="1">
      <alignment horizontal="center"/>
    </xf>
    <xf numFmtId="9" fontId="16" fillId="0" borderId="12" xfId="2" applyFont="1" applyBorder="1" applyAlignment="1">
      <alignment horizontal="center"/>
    </xf>
    <xf numFmtId="0" fontId="13" fillId="10" borderId="25" xfId="0" applyFont="1" applyFill="1" applyBorder="1" applyAlignment="1">
      <alignment horizontal="center" vertical="center"/>
    </xf>
    <xf numFmtId="0" fontId="13" fillId="10" borderId="26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2" fontId="3" fillId="0" borderId="0" xfId="25" applyNumberFormat="1" applyBorder="1" applyAlignment="1">
      <alignment horizontal="center" wrapText="1"/>
    </xf>
    <xf numFmtId="0" fontId="1" fillId="0" borderId="1" xfId="27" applyBorder="1" applyAlignment="1">
      <alignment horizontal="center"/>
    </xf>
    <xf numFmtId="0" fontId="33" fillId="0" borderId="1" xfId="25" applyFont="1" applyBorder="1" applyAlignment="1">
      <alignment horizontal="center" vertical="center" wrapText="1"/>
    </xf>
    <xf numFmtId="0" fontId="1" fillId="0" borderId="1" xfId="27" applyFill="1" applyBorder="1" applyAlignment="1">
      <alignment horizontal="center"/>
    </xf>
    <xf numFmtId="0" fontId="3" fillId="0" borderId="1" xfId="25" applyBorder="1" applyAlignment="1">
      <alignment horizontal="center"/>
    </xf>
    <xf numFmtId="0" fontId="3" fillId="0" borderId="2" xfId="25" applyBorder="1" applyAlignment="1">
      <alignment horizontal="center"/>
    </xf>
    <xf numFmtId="0" fontId="33" fillId="0" borderId="8" xfId="25" applyFont="1" applyBorder="1" applyAlignment="1">
      <alignment horizontal="center" vertical="center" wrapText="1"/>
    </xf>
    <xf numFmtId="0" fontId="33" fillId="0" borderId="9" xfId="25" applyFont="1" applyBorder="1" applyAlignment="1">
      <alignment horizontal="center" vertical="center" wrapText="1"/>
    </xf>
    <xf numFmtId="0" fontId="33" fillId="0" borderId="10" xfId="25" applyFont="1" applyBorder="1" applyAlignment="1">
      <alignment horizontal="center" vertical="center" wrapText="1"/>
    </xf>
    <xf numFmtId="0" fontId="33" fillId="0" borderId="1" xfId="25" applyFont="1" applyBorder="1" applyAlignment="1">
      <alignment horizontal="center"/>
    </xf>
    <xf numFmtId="0" fontId="3" fillId="0" borderId="56" xfId="25" applyBorder="1" applyAlignment="1">
      <alignment horizontal="center"/>
    </xf>
    <xf numFmtId="0" fontId="3" fillId="0" borderId="57" xfId="25" applyBorder="1" applyAlignment="1">
      <alignment horizontal="center"/>
    </xf>
    <xf numFmtId="0" fontId="3" fillId="0" borderId="55" xfId="25" applyBorder="1" applyAlignment="1">
      <alignment horizontal="center"/>
    </xf>
    <xf numFmtId="0" fontId="1" fillId="0" borderId="8" xfId="27" applyBorder="1" applyAlignment="1">
      <alignment horizontal="center"/>
    </xf>
    <xf numFmtId="0" fontId="1" fillId="0" borderId="9" xfId="27" applyBorder="1" applyAlignment="1">
      <alignment horizontal="center"/>
    </xf>
    <xf numFmtId="0" fontId="1" fillId="0" borderId="10" xfId="27" applyBorder="1" applyAlignment="1">
      <alignment horizontal="center"/>
    </xf>
    <xf numFmtId="0" fontId="33" fillId="0" borderId="8" xfId="17" applyFont="1" applyBorder="1" applyAlignment="1">
      <alignment horizontal="center"/>
    </xf>
    <xf numFmtId="0" fontId="33" fillId="0" borderId="9" xfId="17" applyFont="1" applyBorder="1" applyAlignment="1">
      <alignment horizontal="center"/>
    </xf>
    <xf numFmtId="0" fontId="33" fillId="0" borderId="10" xfId="17" applyFont="1" applyBorder="1" applyAlignment="1">
      <alignment horizontal="center"/>
    </xf>
  </cellXfs>
  <cellStyles count="29">
    <cellStyle name="Hiperlink" xfId="1" builtinId="8"/>
    <cellStyle name="Moeda 2" xfId="5"/>
    <cellStyle name="Moeda 3" xfId="13"/>
    <cellStyle name="Normal" xfId="0" builtinId="0"/>
    <cellStyle name="Normal 10" xfId="25"/>
    <cellStyle name="Normal 11" xfId="27"/>
    <cellStyle name="Normal 2" xfId="4"/>
    <cellStyle name="Normal 2 2" xfId="14"/>
    <cellStyle name="Normal 3" xfId="6"/>
    <cellStyle name="Normal 4" xfId="12"/>
    <cellStyle name="Normal 5" xfId="15"/>
    <cellStyle name="Normal 6" xfId="17"/>
    <cellStyle name="Normal 7" xfId="19"/>
    <cellStyle name="Normal 8" xfId="21"/>
    <cellStyle name="Normal 9" xfId="23"/>
    <cellStyle name="Porcentagem" xfId="2" builtinId="5"/>
    <cellStyle name="Porcentagem 2" xfId="7"/>
    <cellStyle name="Porcentagem 3" xfId="8"/>
    <cellStyle name="Separador de milhares 10" xfId="28"/>
    <cellStyle name="Separador de milhares 2" xfId="9"/>
    <cellStyle name="Separador de milhares 3" xfId="10"/>
    <cellStyle name="Separador de milhares 4" xfId="16"/>
    <cellStyle name="Separador de milhares 5" xfId="18"/>
    <cellStyle name="Separador de milhares 6" xfId="20"/>
    <cellStyle name="Separador de milhares 7" xfId="22"/>
    <cellStyle name="Separador de milhares 8" xfId="24"/>
    <cellStyle name="Separador de milhares 9" xfId="26"/>
    <cellStyle name="Vírgula" xfId="3" builtinId="3"/>
    <cellStyle name="Vírgula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s/Desktop/2019/NMT/Projeto%20Coleta%20Lixo/Planilha%20Coleta%20de%20Lixo%20N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leta Domiciliar"/>
      <sheetName val="2. Coleta Seletivo"/>
      <sheetName val="Memória"/>
      <sheetName val="Rotas"/>
      <sheetName val="Horários"/>
      <sheetName val="Ton "/>
      <sheetName val="2.Encargos Sociais"/>
      <sheetName val="3.CAGED"/>
      <sheetName val="4.BDI"/>
      <sheetName val="5. Depreciação"/>
      <sheetName val="6.Remuneração de capital"/>
    </sheetNames>
    <sheetDataSet>
      <sheetData sheetId="0">
        <row r="102">
          <cell r="A102" t="str">
            <v xml:space="preserve">1.6. Auxílio Refeição/Alimentação </v>
          </cell>
        </row>
      </sheetData>
      <sheetData sheetId="1">
        <row r="263">
          <cell r="F263">
            <v>20683.747881326421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8"/>
  <sheetViews>
    <sheetView tabSelected="1" zoomScaleSheetLayoutView="100" workbookViewId="0"/>
  </sheetViews>
  <sheetFormatPr defaultColWidth="9.140625" defaultRowHeight="12.75" x14ac:dyDescent="0.2"/>
  <cols>
    <col min="1" max="1" width="44.5703125" style="9" customWidth="1"/>
    <col min="2" max="2" width="16" style="9" bestFit="1" customWidth="1"/>
    <col min="3" max="3" width="13" style="9" customWidth="1"/>
    <col min="4" max="4" width="14.7109375" style="10" customWidth="1"/>
    <col min="5" max="5" width="15.42578125" style="10" customWidth="1"/>
    <col min="6" max="6" width="14.7109375" style="10" customWidth="1"/>
    <col min="7" max="7" width="9.140625" style="9"/>
    <col min="8" max="8" width="9.42578125" style="9" bestFit="1" customWidth="1"/>
    <col min="9" max="16384" width="9.140625" style="9"/>
  </cols>
  <sheetData>
    <row r="1" spans="1:6" x14ac:dyDescent="0.2">
      <c r="A1" s="11" t="s">
        <v>200</v>
      </c>
    </row>
    <row r="2" spans="1:6" x14ac:dyDescent="0.2">
      <c r="A2" s="130" t="s">
        <v>232</v>
      </c>
    </row>
    <row r="3" spans="1:6" s="4" customFormat="1" ht="15.6" customHeight="1" x14ac:dyDescent="0.2">
      <c r="A3" s="9" t="s">
        <v>201</v>
      </c>
      <c r="C3" s="129"/>
      <c r="D3" s="129"/>
      <c r="E3" s="129"/>
      <c r="F3" s="129"/>
    </row>
    <row r="4" spans="1:6" s="4" customFormat="1" ht="15.6" customHeight="1" x14ac:dyDescent="0.2">
      <c r="A4" s="130" t="s">
        <v>202</v>
      </c>
      <c r="B4" s="129"/>
      <c r="C4" s="129"/>
      <c r="D4" s="129"/>
      <c r="E4" s="129"/>
      <c r="F4" s="129"/>
    </row>
    <row r="5" spans="1:6" s="4" customFormat="1" ht="16.5" customHeight="1" thickBot="1" x14ac:dyDescent="0.25">
      <c r="A5" s="11" t="s">
        <v>382</v>
      </c>
      <c r="B5" s="5"/>
      <c r="C5" s="5"/>
      <c r="D5" s="6"/>
      <c r="E5" s="6"/>
      <c r="F5" s="6"/>
    </row>
    <row r="6" spans="1:6" s="8" customFormat="1" ht="18" x14ac:dyDescent="0.2">
      <c r="A6" s="389" t="s">
        <v>366</v>
      </c>
      <c r="B6" s="390"/>
      <c r="C6" s="390"/>
      <c r="D6" s="390"/>
      <c r="E6" s="390"/>
      <c r="F6" s="391"/>
    </row>
    <row r="7" spans="1:6" s="8" customFormat="1" ht="21.75" customHeight="1" x14ac:dyDescent="0.2">
      <c r="A7" s="392" t="s">
        <v>40</v>
      </c>
      <c r="B7" s="393"/>
      <c r="C7" s="393"/>
      <c r="D7" s="393"/>
      <c r="E7" s="393"/>
      <c r="F7" s="394"/>
    </row>
    <row r="8" spans="1:6" s="4" customFormat="1" ht="10.9" customHeight="1" thickBot="1" x14ac:dyDescent="0.25">
      <c r="A8" s="141"/>
      <c r="B8" s="142"/>
      <c r="C8" s="142"/>
      <c r="D8" s="143"/>
      <c r="E8" s="143"/>
      <c r="F8" s="144"/>
    </row>
    <row r="9" spans="1:6" s="4" customFormat="1" ht="15.75" customHeight="1" thickBot="1" x14ac:dyDescent="0.25">
      <c r="A9" s="398" t="s">
        <v>199</v>
      </c>
      <c r="B9" s="399"/>
      <c r="C9" s="399"/>
      <c r="D9" s="399"/>
      <c r="E9" s="399"/>
      <c r="F9" s="400"/>
    </row>
    <row r="10" spans="1:6" s="4" customFormat="1" ht="15.75" customHeight="1" x14ac:dyDescent="0.2">
      <c r="A10" s="61" t="s">
        <v>198</v>
      </c>
      <c r="B10" s="40"/>
      <c r="C10" s="40"/>
      <c r="D10" s="250"/>
      <c r="E10" s="107" t="s">
        <v>35</v>
      </c>
      <c r="F10" s="41" t="s">
        <v>1</v>
      </c>
    </row>
    <row r="11" spans="1:6" s="11" customFormat="1" ht="15.75" customHeight="1" x14ac:dyDescent="0.2">
      <c r="A11" s="117" t="str">
        <f>A52</f>
        <v>1. Mão-de-obra</v>
      </c>
      <c r="B11" s="118"/>
      <c r="C11" s="119"/>
      <c r="D11" s="119"/>
      <c r="E11" s="247">
        <f>+F151</f>
        <v>4355.2277895104899</v>
      </c>
      <c r="F11" s="120">
        <f t="shared" ref="F11:F33" si="0">IFERROR(E11/$E$34,0)</f>
        <v>0.20751919458815574</v>
      </c>
    </row>
    <row r="12" spans="1:6" s="4" customFormat="1" ht="15.75" customHeight="1" x14ac:dyDescent="0.2">
      <c r="A12" s="49" t="str">
        <f>A53</f>
        <v>1.1. Coletor Turno Dia</v>
      </c>
      <c r="B12" s="45"/>
      <c r="C12" s="47"/>
      <c r="D12" s="47"/>
      <c r="E12" s="248">
        <f>F62</f>
        <v>2348.0214450000003</v>
      </c>
      <c r="F12" s="55">
        <f t="shared" si="0"/>
        <v>0.11187922714758478</v>
      </c>
    </row>
    <row r="13" spans="1:6" s="4" customFormat="1" ht="15.75" hidden="1" customHeight="1" x14ac:dyDescent="0.2">
      <c r="A13" s="49" t="str">
        <f>A64</f>
        <v>1.2. Coletor Turno Noite</v>
      </c>
      <c r="B13" s="45"/>
      <c r="C13" s="47"/>
      <c r="D13" s="47"/>
      <c r="E13" s="248">
        <f>F75</f>
        <v>0</v>
      </c>
      <c r="F13" s="55">
        <f t="shared" si="0"/>
        <v>0</v>
      </c>
    </row>
    <row r="14" spans="1:6" s="4" customFormat="1" ht="15.75" customHeight="1" x14ac:dyDescent="0.2">
      <c r="A14" s="49" t="str">
        <f>A77</f>
        <v>1.3. Motorista Turno do Dia</v>
      </c>
      <c r="B14" s="45"/>
      <c r="C14" s="47"/>
      <c r="D14" s="47"/>
      <c r="E14" s="248">
        <f>F88</f>
        <v>1389.4831186363638</v>
      </c>
      <c r="F14" s="55">
        <f t="shared" si="0"/>
        <v>6.6206506664870865E-2</v>
      </c>
    </row>
    <row r="15" spans="1:6" s="4" customFormat="1" ht="15.75" hidden="1" customHeight="1" x14ac:dyDescent="0.2">
      <c r="A15" s="49" t="str">
        <f>A91</f>
        <v>1.4. Motorista Turno da Noite</v>
      </c>
      <c r="B15" s="45"/>
      <c r="C15" s="47"/>
      <c r="D15" s="47"/>
      <c r="E15" s="248">
        <f>F104</f>
        <v>0</v>
      </c>
      <c r="F15" s="55">
        <f t="shared" si="0"/>
        <v>0</v>
      </c>
    </row>
    <row r="16" spans="1:6" s="4" customFormat="1" ht="15.75" hidden="1" customHeight="1" x14ac:dyDescent="0.2">
      <c r="A16" s="49" t="str">
        <f>A107</f>
        <v>1.5. Supervisor Administrativo (Encarregado)</v>
      </c>
      <c r="B16" s="45"/>
      <c r="C16" s="47"/>
      <c r="D16" s="47"/>
      <c r="E16" s="248">
        <f>F114</f>
        <v>0</v>
      </c>
      <c r="F16" s="55">
        <f t="shared" si="0"/>
        <v>0</v>
      </c>
    </row>
    <row r="17" spans="1:6" s="4" customFormat="1" ht="15.75" hidden="1" customHeight="1" x14ac:dyDescent="0.2">
      <c r="A17" s="49" t="str">
        <f>A117</f>
        <v xml:space="preserve">1.6. Técnico Segurança do Trabalho </v>
      </c>
      <c r="B17" s="45"/>
      <c r="C17" s="47"/>
      <c r="D17" s="47"/>
      <c r="E17" s="248">
        <f>F124</f>
        <v>0</v>
      </c>
      <c r="F17" s="55">
        <f t="shared" si="0"/>
        <v>0</v>
      </c>
    </row>
    <row r="18" spans="1:6" s="4" customFormat="1" ht="15.75" customHeight="1" x14ac:dyDescent="0.2">
      <c r="A18" s="49" t="str">
        <f>A130</f>
        <v>1.7. Vale Transporte</v>
      </c>
      <c r="B18" s="45"/>
      <c r="C18" s="47"/>
      <c r="D18" s="47"/>
      <c r="E18" s="248">
        <f>F136</f>
        <v>171.63012587412589</v>
      </c>
      <c r="F18" s="55">
        <f t="shared" si="0"/>
        <v>8.1778835022692457E-3</v>
      </c>
    </row>
    <row r="19" spans="1:6" s="4" customFormat="1" ht="15.75" customHeight="1" x14ac:dyDescent="0.2">
      <c r="A19" s="49" t="str">
        <f>A138</f>
        <v>1.8. Auxílio Refeição</v>
      </c>
      <c r="B19" s="45"/>
      <c r="C19" s="47"/>
      <c r="D19" s="47"/>
      <c r="E19" s="248">
        <f>F142</f>
        <v>446.09310000000005</v>
      </c>
      <c r="F19" s="55">
        <f t="shared" si="0"/>
        <v>2.1255577273430845E-2</v>
      </c>
    </row>
    <row r="20" spans="1:6" s="4" customFormat="1" ht="15.75" hidden="1" customHeight="1" x14ac:dyDescent="0.2">
      <c r="A20" s="49" t="str">
        <f>A145</f>
        <v>1.9. Auxílio Alimentação (mensal)</v>
      </c>
      <c r="B20" s="45"/>
      <c r="C20" s="47"/>
      <c r="D20" s="47"/>
      <c r="E20" s="248">
        <f>F149</f>
        <v>0</v>
      </c>
      <c r="F20" s="55">
        <f t="shared" si="0"/>
        <v>0</v>
      </c>
    </row>
    <row r="21" spans="1:6" s="11" customFormat="1" ht="15.75" customHeight="1" x14ac:dyDescent="0.2">
      <c r="A21" s="387" t="str">
        <f>A153</f>
        <v>2. Uniformes e Equipamentos de Proteção Individual</v>
      </c>
      <c r="B21" s="388"/>
      <c r="C21" s="388"/>
      <c r="D21" s="119"/>
      <c r="E21" s="247">
        <f>+F186</f>
        <v>219.93</v>
      </c>
      <c r="F21" s="120">
        <f t="shared" si="0"/>
        <v>1.0479290331425537E-2</v>
      </c>
    </row>
    <row r="22" spans="1:6" s="11" customFormat="1" ht="15.75" customHeight="1" x14ac:dyDescent="0.2">
      <c r="A22" s="127" t="str">
        <f>A188</f>
        <v>3. Veículos e Equipamentos</v>
      </c>
      <c r="B22" s="128"/>
      <c r="C22" s="119"/>
      <c r="D22" s="119"/>
      <c r="E22" s="247">
        <f>+F266</f>
        <v>6519.6042812469077</v>
      </c>
      <c r="F22" s="120">
        <f t="shared" si="0"/>
        <v>0.31064805214928048</v>
      </c>
    </row>
    <row r="23" spans="1:6" s="4" customFormat="1" ht="15.75" customHeight="1" x14ac:dyDescent="0.2">
      <c r="A23" s="62" t="str">
        <f>A190</f>
        <v>3.1. Veículo Coletor Compactador 15 m³</v>
      </c>
      <c r="B23" s="46"/>
      <c r="C23" s="47"/>
      <c r="D23" s="47"/>
      <c r="E23" s="248">
        <f>SUM(E24:E29)</f>
        <v>6519.6042812469077</v>
      </c>
      <c r="F23" s="134">
        <f t="shared" si="0"/>
        <v>0.31064805214928048</v>
      </c>
    </row>
    <row r="24" spans="1:6" s="4" customFormat="1" ht="15.75" customHeight="1" x14ac:dyDescent="0.2">
      <c r="A24" s="62" t="str">
        <f>A192</f>
        <v>3.1.1. Depreciação</v>
      </c>
      <c r="B24" s="46"/>
      <c r="C24" s="47"/>
      <c r="D24" s="47"/>
      <c r="E24" s="248">
        <f>F206</f>
        <v>826.89679125000009</v>
      </c>
      <c r="F24" s="134">
        <f t="shared" si="0"/>
        <v>3.9400225297289711E-2</v>
      </c>
    </row>
    <row r="25" spans="1:6" s="4" customFormat="1" ht="15.75" customHeight="1" x14ac:dyDescent="0.2">
      <c r="A25" s="62" t="str">
        <f>A208</f>
        <v>3.1.2. Remuneração do Capital</v>
      </c>
      <c r="B25" s="46"/>
      <c r="C25" s="47"/>
      <c r="D25" s="47"/>
      <c r="E25" s="248">
        <f>F222</f>
        <v>335.56009564687508</v>
      </c>
      <c r="F25" s="134">
        <f t="shared" si="0"/>
        <v>1.598886766664178E-2</v>
      </c>
    </row>
    <row r="26" spans="1:6" s="4" customFormat="1" ht="15.75" customHeight="1" x14ac:dyDescent="0.2">
      <c r="A26" s="62" t="str">
        <f>A224</f>
        <v>3.1.3. Impostos e Seguros</v>
      </c>
      <c r="B26" s="46"/>
      <c r="C26" s="47"/>
      <c r="D26" s="47"/>
      <c r="E26" s="248">
        <f>F230</f>
        <v>163.84262835000001</v>
      </c>
      <c r="F26" s="134">
        <f t="shared" si="0"/>
        <v>7.8068224941731578E-3</v>
      </c>
    </row>
    <row r="27" spans="1:6" s="4" customFormat="1" ht="15.75" customHeight="1" x14ac:dyDescent="0.2">
      <c r="A27" s="62" t="str">
        <f>A232</f>
        <v>3.1.4. Consumos</v>
      </c>
      <c r="B27" s="46"/>
      <c r="C27" s="47"/>
      <c r="D27" s="47"/>
      <c r="E27" s="248">
        <f>F252</f>
        <v>3165.1667248326853</v>
      </c>
      <c r="F27" s="134">
        <f t="shared" si="0"/>
        <v>0.15081480951615964</v>
      </c>
    </row>
    <row r="28" spans="1:6" s="4" customFormat="1" ht="15.75" customHeight="1" x14ac:dyDescent="0.2">
      <c r="A28" s="62" t="str">
        <f>A253</f>
        <v>3.1.5. Manutenção</v>
      </c>
      <c r="B28" s="46"/>
      <c r="C28" s="47"/>
      <c r="D28" s="47"/>
      <c r="E28" s="248">
        <f>F256</f>
        <v>1571.6492485714286</v>
      </c>
      <c r="F28" s="134">
        <f t="shared" si="0"/>
        <v>7.488641283566036E-2</v>
      </c>
    </row>
    <row r="29" spans="1:6" s="4" customFormat="1" ht="15.75" customHeight="1" x14ac:dyDescent="0.2">
      <c r="A29" s="62" t="str">
        <f>A257</f>
        <v>3.1.6. Pneus</v>
      </c>
      <c r="B29" s="46"/>
      <c r="C29" s="47"/>
      <c r="D29" s="47"/>
      <c r="E29" s="248">
        <f>F264</f>
        <v>456.48879259591837</v>
      </c>
      <c r="F29" s="134">
        <f t="shared" si="0"/>
        <v>2.1750914339355814E-2</v>
      </c>
    </row>
    <row r="30" spans="1:6" s="11" customFormat="1" ht="15.75" customHeight="1" x14ac:dyDescent="0.2">
      <c r="A30" s="127" t="str">
        <f>A268</f>
        <v>4. Ferramentas e Materiais de Consumo</v>
      </c>
      <c r="B30" s="128"/>
      <c r="C30" s="119"/>
      <c r="D30" s="119"/>
      <c r="E30" s="247">
        <f>+F279</f>
        <v>90.220166666666685</v>
      </c>
      <c r="F30" s="120">
        <f t="shared" si="0"/>
        <v>4.2988374494139078E-3</v>
      </c>
    </row>
    <row r="31" spans="1:6" s="11" customFormat="1" ht="15.75" customHeight="1" x14ac:dyDescent="0.2">
      <c r="A31" s="127" t="str">
        <f>A284</f>
        <v xml:space="preserve">5. Destino do lixo no aterro </v>
      </c>
      <c r="B31" s="128"/>
      <c r="C31" s="119"/>
      <c r="D31" s="119"/>
      <c r="E31" s="247">
        <f>+F289</f>
        <v>5756.5</v>
      </c>
      <c r="F31" s="120">
        <f t="shared" si="0"/>
        <v>0.27428743142295775</v>
      </c>
    </row>
    <row r="32" spans="1:6" s="11" customFormat="1" ht="15.75" hidden="1" customHeight="1" x14ac:dyDescent="0.2">
      <c r="A32" s="314" t="str">
        <f>A291</f>
        <v xml:space="preserve">6. Administração Local/Veículo de Apoio </v>
      </c>
      <c r="B32" s="128"/>
      <c r="C32" s="119"/>
      <c r="D32" s="119"/>
      <c r="E32" s="332">
        <f>F297</f>
        <v>0</v>
      </c>
      <c r="F32" s="120">
        <f t="shared" si="0"/>
        <v>0</v>
      </c>
    </row>
    <row r="33" spans="1:6" s="11" customFormat="1" ht="15.75" customHeight="1" thickBot="1" x14ac:dyDescent="0.25">
      <c r="A33" s="127" t="str">
        <f>A301</f>
        <v>6. Benefícios e Despesas Indiretas - BDI</v>
      </c>
      <c r="B33" s="128"/>
      <c r="C33" s="119"/>
      <c r="D33" s="119"/>
      <c r="E33" s="249">
        <f>+F307</f>
        <v>4045.6259582968673</v>
      </c>
      <c r="F33" s="120">
        <f t="shared" si="0"/>
        <v>0.19276719405876658</v>
      </c>
    </row>
    <row r="34" spans="1:6" s="4" customFormat="1" ht="15.75" customHeight="1" thickBot="1" x14ac:dyDescent="0.25">
      <c r="A34" s="42" t="s">
        <v>237</v>
      </c>
      <c r="B34" s="43"/>
      <c r="C34" s="26"/>
      <c r="D34" s="26"/>
      <c r="E34" s="106">
        <f>E11+E21+E22+E30+E31+E33+E32</f>
        <v>20987.108195720932</v>
      </c>
      <c r="F34" s="133">
        <f>F11+F21+F22+F30+F31+F33+F32</f>
        <v>1</v>
      </c>
    </row>
    <row r="36" spans="1:6" ht="13.5" thickBot="1" x14ac:dyDescent="0.25">
      <c r="F36" s="381"/>
    </row>
    <row r="37" spans="1:6" s="4" customFormat="1" ht="15" customHeight="1" thickBot="1" x14ac:dyDescent="0.25">
      <c r="A37" s="398" t="s">
        <v>93</v>
      </c>
      <c r="B37" s="399"/>
      <c r="C37" s="399"/>
      <c r="D37" s="399"/>
      <c r="E37" s="400"/>
      <c r="F37" s="10"/>
    </row>
    <row r="38" spans="1:6" s="4" customFormat="1" ht="15" customHeight="1" thickBot="1" x14ac:dyDescent="0.25">
      <c r="A38" s="395" t="s">
        <v>36</v>
      </c>
      <c r="B38" s="396"/>
      <c r="C38" s="396"/>
      <c r="D38" s="397"/>
      <c r="E38" s="48" t="s">
        <v>37</v>
      </c>
      <c r="F38" s="10"/>
    </row>
    <row r="39" spans="1:6" s="4" customFormat="1" ht="15" customHeight="1" x14ac:dyDescent="0.2">
      <c r="A39" s="70" t="str">
        <f>+A53</f>
        <v>1.1. Coletor Turno Dia</v>
      </c>
      <c r="B39" s="71"/>
      <c r="C39" s="71"/>
      <c r="D39" s="72"/>
      <c r="E39" s="73">
        <f>C61</f>
        <v>3</v>
      </c>
      <c r="F39" s="10"/>
    </row>
    <row r="40" spans="1:6" s="4" customFormat="1" ht="15" hidden="1" customHeight="1" x14ac:dyDescent="0.2">
      <c r="A40" s="64" t="str">
        <f>+A64</f>
        <v>1.2. Coletor Turno Noite</v>
      </c>
      <c r="B40" s="63"/>
      <c r="C40" s="63"/>
      <c r="D40" s="74"/>
      <c r="E40" s="67">
        <f>C74</f>
        <v>0</v>
      </c>
      <c r="F40" s="10"/>
    </row>
    <row r="41" spans="1:6" s="4" customFormat="1" ht="15" customHeight="1" x14ac:dyDescent="0.2">
      <c r="A41" s="64" t="str">
        <f>+A77</f>
        <v>1.3. Motorista Turno do Dia</v>
      </c>
      <c r="B41" s="63"/>
      <c r="C41" s="63"/>
      <c r="D41" s="74"/>
      <c r="E41" s="67">
        <f>C87</f>
        <v>1</v>
      </c>
      <c r="F41" s="10"/>
    </row>
    <row r="42" spans="1:6" s="4" customFormat="1" ht="15" hidden="1" customHeight="1" x14ac:dyDescent="0.2">
      <c r="A42" s="64" t="str">
        <f>A91</f>
        <v>1.4. Motorista Turno da Noite</v>
      </c>
      <c r="B42" s="63"/>
      <c r="C42" s="63"/>
      <c r="D42" s="74"/>
      <c r="E42" s="67">
        <f>C103</f>
        <v>0</v>
      </c>
      <c r="F42" s="10"/>
    </row>
    <row r="43" spans="1:6" s="4" customFormat="1" ht="15" hidden="1" customHeight="1" x14ac:dyDescent="0.2">
      <c r="A43" s="64" t="str">
        <f>+A107</f>
        <v>1.5. Supervisor Administrativo (Encarregado)</v>
      </c>
      <c r="B43" s="63"/>
      <c r="C43" s="63"/>
      <c r="D43" s="74"/>
      <c r="E43" s="67">
        <f>C113</f>
        <v>0</v>
      </c>
      <c r="F43" s="10"/>
    </row>
    <row r="44" spans="1:6" s="4" customFormat="1" ht="15" customHeight="1" thickBot="1" x14ac:dyDescent="0.25">
      <c r="A44" s="68" t="s">
        <v>56</v>
      </c>
      <c r="B44" s="69"/>
      <c r="C44" s="69"/>
      <c r="D44" s="75"/>
      <c r="E44" s="76">
        <f>SUM(E39:E43)</f>
        <v>4</v>
      </c>
      <c r="F44" s="10"/>
    </row>
    <row r="45" spans="1:6" s="4" customFormat="1" ht="15" customHeight="1" thickBot="1" x14ac:dyDescent="0.25">
      <c r="A45" s="121"/>
      <c r="B45" s="122"/>
      <c r="C45" s="56"/>
      <c r="D45" s="56"/>
      <c r="E45" s="123"/>
      <c r="F45" s="10"/>
    </row>
    <row r="46" spans="1:6" s="4" customFormat="1" ht="15" customHeight="1" x14ac:dyDescent="0.2">
      <c r="A46" s="385" t="s">
        <v>53</v>
      </c>
      <c r="B46" s="386"/>
      <c r="C46" s="386"/>
      <c r="D46" s="386"/>
      <c r="E46" s="48" t="s">
        <v>37</v>
      </c>
      <c r="F46" s="9"/>
    </row>
    <row r="47" spans="1:6" s="4" customFormat="1" ht="15" customHeight="1" thickBot="1" x14ac:dyDescent="0.25">
      <c r="A47" s="124" t="str">
        <f>+A190</f>
        <v>3.1. Veículo Coletor Compactador 15 m³</v>
      </c>
      <c r="B47" s="125"/>
      <c r="C47" s="125"/>
      <c r="D47" s="126"/>
      <c r="E47" s="289">
        <f>C205</f>
        <v>1.1000000000000001</v>
      </c>
      <c r="F47" s="9"/>
    </row>
    <row r="48" spans="1:6" s="4" customFormat="1" ht="15" customHeight="1" x14ac:dyDescent="0.2">
      <c r="A48" s="56"/>
      <c r="B48" s="56"/>
      <c r="C48" s="56"/>
      <c r="D48" s="53"/>
      <c r="E48" s="240"/>
      <c r="F48" s="9"/>
    </row>
    <row r="49" spans="1:6" s="4" customFormat="1" ht="13.5" thickBot="1" x14ac:dyDescent="0.25">
      <c r="A49" s="56"/>
      <c r="B49" s="56"/>
      <c r="C49" s="56"/>
      <c r="D49" s="53"/>
      <c r="E49" s="65"/>
      <c r="F49" s="9"/>
    </row>
    <row r="50" spans="1:6" s="11" customFormat="1" ht="15.75" customHeight="1" thickBot="1" x14ac:dyDescent="0.25">
      <c r="A50" s="251" t="s">
        <v>193</v>
      </c>
      <c r="B50" s="286">
        <f>55/220</f>
        <v>0.25</v>
      </c>
      <c r="C50" s="35"/>
      <c r="D50" s="34"/>
      <c r="E50" s="146"/>
    </row>
    <row r="51" spans="1:6" s="4" customFormat="1" ht="15.75" customHeight="1" x14ac:dyDescent="0.2">
      <c r="A51" s="56"/>
      <c r="B51" s="56"/>
      <c r="C51" s="56"/>
      <c r="D51" s="53"/>
      <c r="E51" s="65"/>
      <c r="F51" s="9"/>
    </row>
    <row r="52" spans="1:6" ht="13.15" customHeight="1" x14ac:dyDescent="0.2">
      <c r="A52" s="11" t="s">
        <v>44</v>
      </c>
    </row>
    <row r="53" spans="1:6" ht="13.9" customHeight="1" thickBot="1" x14ac:dyDescent="0.25">
      <c r="A53" s="9" t="s">
        <v>95</v>
      </c>
    </row>
    <row r="54" spans="1:6" ht="13.9" customHeight="1" thickBot="1" x14ac:dyDescent="0.25">
      <c r="A54" s="57" t="s">
        <v>61</v>
      </c>
      <c r="B54" s="58" t="s">
        <v>62</v>
      </c>
      <c r="C54" s="58" t="s">
        <v>37</v>
      </c>
      <c r="D54" s="59" t="s">
        <v>234</v>
      </c>
      <c r="E54" s="59" t="s">
        <v>63</v>
      </c>
      <c r="F54" s="60" t="s">
        <v>64</v>
      </c>
    </row>
    <row r="55" spans="1:6" ht="13.15" customHeight="1" x14ac:dyDescent="0.2">
      <c r="A55" s="13" t="s">
        <v>215</v>
      </c>
      <c r="B55" s="14" t="s">
        <v>7</v>
      </c>
      <c r="C55" s="14">
        <v>1</v>
      </c>
      <c r="D55" s="83">
        <v>1278.2</v>
      </c>
      <c r="E55" s="15">
        <f>C55*D55</f>
        <v>1278.2</v>
      </c>
    </row>
    <row r="56" spans="1:6" ht="13.15" hidden="1" customHeight="1" x14ac:dyDescent="0.2">
      <c r="A56" s="287" t="s">
        <v>326</v>
      </c>
      <c r="B56" s="288" t="s">
        <v>325</v>
      </c>
      <c r="C56" s="17">
        <v>0</v>
      </c>
      <c r="D56" s="80">
        <f>D55/220*2</f>
        <v>11.620000000000001</v>
      </c>
      <c r="E56" s="312">
        <f>C56*D56</f>
        <v>0</v>
      </c>
    </row>
    <row r="57" spans="1:6" x14ac:dyDescent="0.2">
      <c r="A57" s="16" t="s">
        <v>0</v>
      </c>
      <c r="B57" s="17" t="s">
        <v>1</v>
      </c>
      <c r="C57" s="17">
        <v>40</v>
      </c>
      <c r="D57" s="80">
        <f>SUM(E55:E56)</f>
        <v>1278.2</v>
      </c>
      <c r="E57" s="18">
        <f>C57*D57/100</f>
        <v>511.28</v>
      </c>
    </row>
    <row r="58" spans="1:6" x14ac:dyDescent="0.2">
      <c r="A58" s="108" t="s">
        <v>2</v>
      </c>
      <c r="B58" s="109"/>
      <c r="C58" s="109"/>
      <c r="D58" s="110"/>
      <c r="E58" s="111">
        <f>SUM(E55:E57)</f>
        <v>1789.48</v>
      </c>
    </row>
    <row r="59" spans="1:6" x14ac:dyDescent="0.2">
      <c r="A59" s="16" t="s">
        <v>3</v>
      </c>
      <c r="B59" s="17" t="s">
        <v>1</v>
      </c>
      <c r="C59" s="131">
        <f>'3.Encargos Sociais'!$C$34*100</f>
        <v>74.95</v>
      </c>
      <c r="D59" s="18">
        <f>E58</f>
        <v>1789.48</v>
      </c>
      <c r="E59" s="18">
        <f>D59*C59/100</f>
        <v>1341.2152600000002</v>
      </c>
    </row>
    <row r="60" spans="1:6" x14ac:dyDescent="0.2">
      <c r="A60" s="108" t="s">
        <v>70</v>
      </c>
      <c r="B60" s="109"/>
      <c r="C60" s="109"/>
      <c r="D60" s="110"/>
      <c r="E60" s="111">
        <f>E58+E59</f>
        <v>3130.6952600000004</v>
      </c>
    </row>
    <row r="61" spans="1:6" ht="13.5" thickBot="1" x14ac:dyDescent="0.25">
      <c r="A61" s="16" t="s">
        <v>4</v>
      </c>
      <c r="B61" s="17" t="s">
        <v>5</v>
      </c>
      <c r="C61" s="82">
        <v>3</v>
      </c>
      <c r="D61" s="18">
        <f>E60</f>
        <v>3130.6952600000004</v>
      </c>
      <c r="E61" s="18">
        <f>C61*D61</f>
        <v>9392.0857800000013</v>
      </c>
    </row>
    <row r="62" spans="1:6" ht="13.9" customHeight="1" thickBot="1" x14ac:dyDescent="0.25">
      <c r="D62" s="115" t="s">
        <v>192</v>
      </c>
      <c r="E62" s="333">
        <f>$B$50</f>
        <v>0.25</v>
      </c>
      <c r="F62" s="116">
        <f>E61*E62</f>
        <v>2348.0214450000003</v>
      </c>
    </row>
    <row r="63" spans="1:6" ht="11.25" customHeight="1" x14ac:dyDescent="0.2"/>
    <row r="64" spans="1:6" ht="13.5" hidden="1" thickBot="1" x14ac:dyDescent="0.25">
      <c r="A64" s="9" t="s">
        <v>87</v>
      </c>
    </row>
    <row r="65" spans="1:6" ht="13.5" hidden="1" thickBot="1" x14ac:dyDescent="0.25">
      <c r="A65" s="57" t="s">
        <v>61</v>
      </c>
      <c r="B65" s="58" t="s">
        <v>62</v>
      </c>
      <c r="C65" s="58" t="s">
        <v>37</v>
      </c>
      <c r="D65" s="59" t="s">
        <v>234</v>
      </c>
      <c r="E65" s="59" t="s">
        <v>63</v>
      </c>
      <c r="F65" s="60" t="s">
        <v>64</v>
      </c>
    </row>
    <row r="66" spans="1:6" hidden="1" x14ac:dyDescent="0.2">
      <c r="A66" s="13" t="s">
        <v>215</v>
      </c>
      <c r="B66" s="14" t="s">
        <v>7</v>
      </c>
      <c r="C66" s="14">
        <v>1</v>
      </c>
      <c r="D66" s="15">
        <f>D55</f>
        <v>1278.2</v>
      </c>
      <c r="E66" s="15">
        <f>C66*D66</f>
        <v>1278.2</v>
      </c>
    </row>
    <row r="67" spans="1:6" hidden="1" x14ac:dyDescent="0.2">
      <c r="A67" s="16" t="s">
        <v>6</v>
      </c>
      <c r="B67" s="17" t="s">
        <v>94</v>
      </c>
      <c r="C67" s="84">
        <f>1.5*26</f>
        <v>39</v>
      </c>
      <c r="D67" s="18"/>
      <c r="E67" s="18"/>
    </row>
    <row r="68" spans="1:6" hidden="1" x14ac:dyDescent="0.2">
      <c r="A68" s="16"/>
      <c r="B68" s="17" t="s">
        <v>97</v>
      </c>
      <c r="C68" s="112">
        <f>C67*8/7</f>
        <v>44.571428571428569</v>
      </c>
      <c r="D68" s="18">
        <f>D66/220*0.2</f>
        <v>1.1620000000000001</v>
      </c>
      <c r="E68" s="18">
        <f>C67*D68</f>
        <v>45.318000000000005</v>
      </c>
    </row>
    <row r="69" spans="1:6" hidden="1" x14ac:dyDescent="0.2">
      <c r="A69" s="287" t="s">
        <v>326</v>
      </c>
      <c r="B69" s="288" t="s">
        <v>325</v>
      </c>
      <c r="C69" s="17">
        <v>3.5</v>
      </c>
      <c r="D69" s="80">
        <f>D66/220*2</f>
        <v>11.620000000000001</v>
      </c>
      <c r="E69" s="312">
        <f>C69*D69</f>
        <v>40.67</v>
      </c>
    </row>
    <row r="70" spans="1:6" hidden="1" x14ac:dyDescent="0.2">
      <c r="A70" s="16" t="s">
        <v>0</v>
      </c>
      <c r="B70" s="17" t="s">
        <v>1</v>
      </c>
      <c r="C70" s="17">
        <f>+C57</f>
        <v>40</v>
      </c>
      <c r="D70" s="80">
        <f>SUM(E66:E69)</f>
        <v>1364.1880000000001</v>
      </c>
      <c r="E70" s="18">
        <f>C70*D70/100</f>
        <v>545.67520000000002</v>
      </c>
    </row>
    <row r="71" spans="1:6" hidden="1" x14ac:dyDescent="0.2">
      <c r="A71" s="108" t="s">
        <v>2</v>
      </c>
      <c r="B71" s="109"/>
      <c r="C71" s="109"/>
      <c r="D71" s="110"/>
      <c r="E71" s="111">
        <f>SUM(E66:E70)</f>
        <v>1909.8632000000002</v>
      </c>
    </row>
    <row r="72" spans="1:6" hidden="1" x14ac:dyDescent="0.2">
      <c r="A72" s="16" t="s">
        <v>3</v>
      </c>
      <c r="B72" s="17" t="s">
        <v>1</v>
      </c>
      <c r="C72" s="131">
        <f>'3.Encargos Sociais'!$C$34*100</f>
        <v>74.95</v>
      </c>
      <c r="D72" s="18">
        <f>E71</f>
        <v>1909.8632000000002</v>
      </c>
      <c r="E72" s="18">
        <f>D72*C72/100</f>
        <v>1431.4424684000003</v>
      </c>
    </row>
    <row r="73" spans="1:6" hidden="1" x14ac:dyDescent="0.2">
      <c r="A73" s="108" t="s">
        <v>70</v>
      </c>
      <c r="B73" s="109"/>
      <c r="C73" s="109"/>
      <c r="D73" s="110"/>
      <c r="E73" s="111">
        <f>E71+E72</f>
        <v>3341.3056684000003</v>
      </c>
    </row>
    <row r="74" spans="1:6" ht="13.5" hidden="1" thickBot="1" x14ac:dyDescent="0.25">
      <c r="A74" s="16" t="s">
        <v>4</v>
      </c>
      <c r="B74" s="17" t="s">
        <v>5</v>
      </c>
      <c r="C74" s="82">
        <v>0</v>
      </c>
      <c r="D74" s="18">
        <f>E73</f>
        <v>3341.3056684000003</v>
      </c>
      <c r="E74" s="18">
        <f>C74*D74</f>
        <v>0</v>
      </c>
    </row>
    <row r="75" spans="1:6" ht="13.5" hidden="1" thickBot="1" x14ac:dyDescent="0.25">
      <c r="D75" s="115" t="s">
        <v>192</v>
      </c>
      <c r="E75" s="333">
        <f>$B$50</f>
        <v>0.25</v>
      </c>
      <c r="F75" s="116">
        <f>E74*E75</f>
        <v>0</v>
      </c>
    </row>
    <row r="76" spans="1:6" ht="11.25" hidden="1" customHeight="1" x14ac:dyDescent="0.2"/>
    <row r="77" spans="1:6" ht="13.5" thickBot="1" x14ac:dyDescent="0.25">
      <c r="A77" s="9" t="s">
        <v>96</v>
      </c>
    </row>
    <row r="78" spans="1:6" s="12" customFormat="1" ht="13.15" customHeight="1" thickBot="1" x14ac:dyDescent="0.25">
      <c r="A78" s="57" t="s">
        <v>61</v>
      </c>
      <c r="B78" s="58" t="s">
        <v>62</v>
      </c>
      <c r="C78" s="58" t="s">
        <v>37</v>
      </c>
      <c r="D78" s="59" t="s">
        <v>234</v>
      </c>
      <c r="E78" s="59" t="s">
        <v>63</v>
      </c>
      <c r="F78" s="60" t="s">
        <v>64</v>
      </c>
    </row>
    <row r="79" spans="1:6" x14ac:dyDescent="0.2">
      <c r="A79" s="13" t="s">
        <v>217</v>
      </c>
      <c r="B79" s="14" t="s">
        <v>7</v>
      </c>
      <c r="C79" s="14">
        <v>1</v>
      </c>
      <c r="D79" s="83">
        <v>1741.82</v>
      </c>
      <c r="E79" s="15">
        <f>C79*D79</f>
        <v>1741.82</v>
      </c>
    </row>
    <row r="80" spans="1:6" x14ac:dyDescent="0.2">
      <c r="A80" s="13" t="s">
        <v>218</v>
      </c>
      <c r="B80" s="14" t="s">
        <v>7</v>
      </c>
      <c r="C80" s="14">
        <v>1</v>
      </c>
      <c r="D80" s="83">
        <v>998</v>
      </c>
      <c r="E80" s="15"/>
    </row>
    <row r="81" spans="1:6" x14ac:dyDescent="0.2">
      <c r="A81" s="16" t="s">
        <v>216</v>
      </c>
      <c r="B81" s="17"/>
      <c r="C81" s="82">
        <v>1</v>
      </c>
      <c r="D81" s="18"/>
      <c r="E81" s="18"/>
    </row>
    <row r="82" spans="1:6" x14ac:dyDescent="0.2">
      <c r="A82" s="16" t="s">
        <v>0</v>
      </c>
      <c r="B82" s="17" t="s">
        <v>1</v>
      </c>
      <c r="C82" s="82">
        <v>20</v>
      </c>
      <c r="D82" s="80">
        <f>IF(C81=2,SUM(E79:E80),IF(C81=1,(SUM(E79:E80))*D80/D79,0))</f>
        <v>998</v>
      </c>
      <c r="E82" s="18">
        <f>C82*D82/100</f>
        <v>199.6</v>
      </c>
    </row>
    <row r="83" spans="1:6" x14ac:dyDescent="0.2">
      <c r="A83" s="287" t="s">
        <v>326</v>
      </c>
      <c r="B83" s="288" t="s">
        <v>325</v>
      </c>
      <c r="C83" s="315"/>
      <c r="D83" s="80">
        <f>D79/220*2</f>
        <v>15.834727272727273</v>
      </c>
      <c r="E83" s="18">
        <f>C83*D83</f>
        <v>0</v>
      </c>
    </row>
    <row r="84" spans="1:6" s="11" customFormat="1" x14ac:dyDescent="0.2">
      <c r="A84" s="96" t="s">
        <v>2</v>
      </c>
      <c r="B84" s="109"/>
      <c r="C84" s="109"/>
      <c r="D84" s="110"/>
      <c r="E84" s="98">
        <f>SUM(E79:E83)</f>
        <v>1941.4199999999998</v>
      </c>
      <c r="F84" s="44"/>
    </row>
    <row r="85" spans="1:6" x14ac:dyDescent="0.2">
      <c r="A85" s="16" t="s">
        <v>3</v>
      </c>
      <c r="B85" s="17" t="s">
        <v>1</v>
      </c>
      <c r="C85" s="131">
        <f>'3.Encargos Sociais'!$C$34*100</f>
        <v>74.95</v>
      </c>
      <c r="D85" s="18">
        <f>E84</f>
        <v>1941.4199999999998</v>
      </c>
      <c r="E85" s="18">
        <f>D85*C85/100</f>
        <v>1455.09429</v>
      </c>
    </row>
    <row r="86" spans="1:6" s="11" customFormat="1" x14ac:dyDescent="0.2">
      <c r="A86" s="96" t="s">
        <v>248</v>
      </c>
      <c r="B86" s="257"/>
      <c r="C86" s="257"/>
      <c r="D86" s="258"/>
      <c r="E86" s="98">
        <f>E84+E85</f>
        <v>3396.5142900000001</v>
      </c>
      <c r="F86" s="44"/>
    </row>
    <row r="87" spans="1:6" ht="13.5" thickBot="1" x14ac:dyDescent="0.25">
      <c r="A87" s="16" t="s">
        <v>4</v>
      </c>
      <c r="B87" s="17" t="s">
        <v>5</v>
      </c>
      <c r="C87" s="82">
        <v>1</v>
      </c>
      <c r="D87" s="18">
        <f>E86</f>
        <v>3396.5142900000001</v>
      </c>
      <c r="E87" s="18">
        <f>C87*D87</f>
        <v>3396.5142900000001</v>
      </c>
    </row>
    <row r="88" spans="1:6" ht="13.5" thickBot="1" x14ac:dyDescent="0.25">
      <c r="A88" s="7" t="s">
        <v>336</v>
      </c>
      <c r="D88" s="115" t="s">
        <v>192</v>
      </c>
      <c r="E88" s="333">
        <f>90/220</f>
        <v>0.40909090909090912</v>
      </c>
      <c r="F88" s="116">
        <f>E87*E88</f>
        <v>1389.4831186363638</v>
      </c>
    </row>
    <row r="89" spans="1:6" x14ac:dyDescent="0.2">
      <c r="A89" s="7" t="s">
        <v>337</v>
      </c>
      <c r="D89" s="115"/>
      <c r="E89" s="56"/>
    </row>
    <row r="90" spans="1:6" ht="13.15" customHeight="1" x14ac:dyDescent="0.2"/>
    <row r="91" spans="1:6" ht="13.15" hidden="1" customHeight="1" thickBot="1" x14ac:dyDescent="0.25">
      <c r="A91" s="7" t="s">
        <v>334</v>
      </c>
    </row>
    <row r="92" spans="1:6" ht="13.15" hidden="1" customHeight="1" thickBot="1" x14ac:dyDescent="0.25">
      <c r="A92" s="57" t="s">
        <v>61</v>
      </c>
      <c r="B92" s="58" t="s">
        <v>62</v>
      </c>
      <c r="C92" s="58" t="s">
        <v>37</v>
      </c>
      <c r="D92" s="59" t="s">
        <v>234</v>
      </c>
      <c r="E92" s="59" t="s">
        <v>63</v>
      </c>
      <c r="F92" s="60" t="s">
        <v>64</v>
      </c>
    </row>
    <row r="93" spans="1:6" ht="13.15" hidden="1" customHeight="1" x14ac:dyDescent="0.2">
      <c r="A93" s="13" t="s">
        <v>217</v>
      </c>
      <c r="B93" s="14" t="s">
        <v>7</v>
      </c>
      <c r="C93" s="14">
        <v>1</v>
      </c>
      <c r="D93" s="83">
        <f>D79</f>
        <v>1741.82</v>
      </c>
      <c r="E93" s="15">
        <f>C93*D93</f>
        <v>1741.82</v>
      </c>
    </row>
    <row r="94" spans="1:6" ht="13.15" hidden="1" customHeight="1" x14ac:dyDescent="0.2">
      <c r="A94" s="13" t="s">
        <v>218</v>
      </c>
      <c r="B94" s="14" t="s">
        <v>7</v>
      </c>
      <c r="C94" s="14">
        <v>1</v>
      </c>
      <c r="D94" s="83">
        <v>998</v>
      </c>
      <c r="E94" s="15"/>
    </row>
    <row r="95" spans="1:6" ht="13.15" hidden="1" customHeight="1" x14ac:dyDescent="0.2">
      <c r="A95" s="16" t="s">
        <v>216</v>
      </c>
      <c r="B95" s="17"/>
      <c r="C95" s="82">
        <v>1</v>
      </c>
      <c r="D95" s="18"/>
      <c r="E95" s="18"/>
    </row>
    <row r="96" spans="1:6" ht="13.15" hidden="1" customHeight="1" x14ac:dyDescent="0.2">
      <c r="A96" s="16" t="s">
        <v>0</v>
      </c>
      <c r="B96" s="17" t="s">
        <v>1</v>
      </c>
      <c r="C96" s="82">
        <v>20</v>
      </c>
      <c r="D96" s="80">
        <f>IF(C95=2,SUM(E93:E94),IF(C95=1,(SUM(E93:E94))*D94/D93,0))</f>
        <v>998</v>
      </c>
      <c r="E96" s="18">
        <f>C96*D96/100</f>
        <v>199.6</v>
      </c>
    </row>
    <row r="97" spans="1:8" ht="13.15" hidden="1" customHeight="1" x14ac:dyDescent="0.2">
      <c r="A97" s="16" t="s">
        <v>6</v>
      </c>
      <c r="B97" s="17" t="s">
        <v>94</v>
      </c>
      <c r="C97" s="84">
        <f>2*26</f>
        <v>52</v>
      </c>
      <c r="D97" s="18"/>
      <c r="E97" s="18"/>
    </row>
    <row r="98" spans="1:8" ht="13.15" hidden="1" customHeight="1" x14ac:dyDescent="0.2">
      <c r="A98" s="16"/>
      <c r="B98" s="17" t="s">
        <v>97</v>
      </c>
      <c r="C98" s="112">
        <f>C97*8/7</f>
        <v>59.428571428571431</v>
      </c>
      <c r="D98" s="18">
        <f>D93/220*0.2</f>
        <v>1.5834727272727274</v>
      </c>
      <c r="E98" s="18">
        <f>C97*D98</f>
        <v>82.340581818181818</v>
      </c>
    </row>
    <row r="99" spans="1:8" ht="13.15" hidden="1" customHeight="1" x14ac:dyDescent="0.2">
      <c r="A99" s="287" t="s">
        <v>326</v>
      </c>
      <c r="B99" s="288" t="s">
        <v>325</v>
      </c>
      <c r="C99" s="315"/>
      <c r="D99" s="80">
        <f>D93/220*2</f>
        <v>15.834727272727273</v>
      </c>
      <c r="E99" s="18">
        <f>C99*D99</f>
        <v>0</v>
      </c>
    </row>
    <row r="100" spans="1:8" ht="13.15" hidden="1" customHeight="1" x14ac:dyDescent="0.2">
      <c r="A100" s="96" t="s">
        <v>2</v>
      </c>
      <c r="B100" s="109"/>
      <c r="C100" s="109"/>
      <c r="D100" s="110"/>
      <c r="E100" s="98">
        <f>SUM(E93:E99)</f>
        <v>2023.7605818181817</v>
      </c>
      <c r="F100" s="44"/>
    </row>
    <row r="101" spans="1:8" ht="13.15" hidden="1" customHeight="1" x14ac:dyDescent="0.2">
      <c r="A101" s="16" t="s">
        <v>3</v>
      </c>
      <c r="B101" s="17" t="s">
        <v>1</v>
      </c>
      <c r="C101" s="131">
        <f>'3.Encargos Sociais'!$C$34*100</f>
        <v>74.95</v>
      </c>
      <c r="D101" s="18">
        <f>E100</f>
        <v>2023.7605818181817</v>
      </c>
      <c r="E101" s="18">
        <f>D101*C101/100</f>
        <v>1516.808556072727</v>
      </c>
    </row>
    <row r="102" spans="1:8" ht="13.15" hidden="1" customHeight="1" x14ac:dyDescent="0.2">
      <c r="A102" s="96" t="s">
        <v>248</v>
      </c>
      <c r="B102" s="257"/>
      <c r="C102" s="257"/>
      <c r="D102" s="258"/>
      <c r="E102" s="98">
        <f>E100+E101</f>
        <v>3540.5691378909087</v>
      </c>
      <c r="F102" s="44"/>
    </row>
    <row r="103" spans="1:8" ht="13.15" hidden="1" customHeight="1" thickBot="1" x14ac:dyDescent="0.25">
      <c r="A103" s="16" t="s">
        <v>4</v>
      </c>
      <c r="B103" s="17" t="s">
        <v>5</v>
      </c>
      <c r="C103" s="82">
        <v>0</v>
      </c>
      <c r="D103" s="18">
        <f>E102</f>
        <v>3540.5691378909087</v>
      </c>
      <c r="E103" s="18">
        <f>C103*D103</f>
        <v>0</v>
      </c>
    </row>
    <row r="104" spans="1:8" ht="13.15" hidden="1" customHeight="1" thickBot="1" x14ac:dyDescent="0.25">
      <c r="A104" s="7" t="s">
        <v>336</v>
      </c>
      <c r="D104" s="115" t="s">
        <v>192</v>
      </c>
      <c r="E104" s="333">
        <f>195/220</f>
        <v>0.88636363636363635</v>
      </c>
      <c r="F104" s="116">
        <f>E103*E104</f>
        <v>0</v>
      </c>
    </row>
    <row r="105" spans="1:8" ht="13.15" hidden="1" customHeight="1" x14ac:dyDescent="0.2">
      <c r="A105" s="7" t="s">
        <v>337</v>
      </c>
      <c r="D105" s="115"/>
      <c r="E105" s="56"/>
    </row>
    <row r="106" spans="1:8" ht="13.15" hidden="1" customHeight="1" x14ac:dyDescent="0.2"/>
    <row r="107" spans="1:8" ht="13.5" hidden="1" thickBot="1" x14ac:dyDescent="0.25">
      <c r="A107" s="7" t="s">
        <v>335</v>
      </c>
    </row>
    <row r="108" spans="1:8" ht="13.5" hidden="1" thickBot="1" x14ac:dyDescent="0.25">
      <c r="A108" s="57" t="s">
        <v>61</v>
      </c>
      <c r="B108" s="58" t="s">
        <v>62</v>
      </c>
      <c r="C108" s="58" t="s">
        <v>37</v>
      </c>
      <c r="D108" s="59" t="s">
        <v>234</v>
      </c>
      <c r="E108" s="59" t="s">
        <v>63</v>
      </c>
      <c r="F108" s="60" t="s">
        <v>64</v>
      </c>
    </row>
    <row r="109" spans="1:8" hidden="1" x14ac:dyDescent="0.2">
      <c r="A109" s="13" t="s">
        <v>215</v>
      </c>
      <c r="B109" s="14" t="s">
        <v>7</v>
      </c>
      <c r="C109" s="14">
        <v>1</v>
      </c>
      <c r="D109" s="15">
        <v>2800</v>
      </c>
      <c r="E109" s="15">
        <f>C109*D109</f>
        <v>2800</v>
      </c>
      <c r="H109" s="7"/>
    </row>
    <row r="110" spans="1:8" s="11" customFormat="1" hidden="1" x14ac:dyDescent="0.2">
      <c r="A110" s="108" t="s">
        <v>2</v>
      </c>
      <c r="B110" s="109"/>
      <c r="C110" s="109"/>
      <c r="D110" s="110"/>
      <c r="E110" s="111">
        <f>SUM(E109:E109)</f>
        <v>2800</v>
      </c>
      <c r="F110" s="44"/>
    </row>
    <row r="111" spans="1:8" hidden="1" x14ac:dyDescent="0.2">
      <c r="A111" s="16" t="s">
        <v>3</v>
      </c>
      <c r="B111" s="17" t="s">
        <v>1</v>
      </c>
      <c r="C111" s="131">
        <f>'3.Encargos Sociais'!$C$34*100</f>
        <v>74.95</v>
      </c>
      <c r="D111" s="18">
        <f>E110</f>
        <v>2800</v>
      </c>
      <c r="E111" s="18">
        <f>D111*C111/100</f>
        <v>2098.6</v>
      </c>
    </row>
    <row r="112" spans="1:8" s="11" customFormat="1" hidden="1" x14ac:dyDescent="0.2">
      <c r="A112" s="108" t="s">
        <v>284</v>
      </c>
      <c r="B112" s="109"/>
      <c r="C112" s="109"/>
      <c r="D112" s="110"/>
      <c r="E112" s="111">
        <f>E110+E111</f>
        <v>4898.6000000000004</v>
      </c>
      <c r="F112" s="44"/>
    </row>
    <row r="113" spans="1:6" ht="13.5" hidden="1" thickBot="1" x14ac:dyDescent="0.25">
      <c r="A113" s="16" t="s">
        <v>4</v>
      </c>
      <c r="B113" s="17" t="s">
        <v>5</v>
      </c>
      <c r="C113" s="82">
        <v>0</v>
      </c>
      <c r="D113" s="18">
        <f>E112</f>
        <v>4898.6000000000004</v>
      </c>
      <c r="E113" s="18">
        <f>C113*D113</f>
        <v>0</v>
      </c>
    </row>
    <row r="114" spans="1:6" ht="13.5" hidden="1" thickBot="1" x14ac:dyDescent="0.25">
      <c r="A114" s="7" t="s">
        <v>338</v>
      </c>
      <c r="D114" s="115" t="s">
        <v>192</v>
      </c>
      <c r="E114" s="50">
        <f>30/220</f>
        <v>0.13636363636363635</v>
      </c>
      <c r="F114" s="116">
        <f>E113*E114</f>
        <v>0</v>
      </c>
    </row>
    <row r="115" spans="1:6" hidden="1" x14ac:dyDescent="0.2">
      <c r="A115" s="7" t="s">
        <v>394</v>
      </c>
      <c r="D115" s="115"/>
      <c r="E115" s="56"/>
    </row>
    <row r="116" spans="1:6" ht="13.9" hidden="1" customHeight="1" x14ac:dyDescent="0.2"/>
    <row r="117" spans="1:6" ht="13.9" hidden="1" customHeight="1" thickBot="1" x14ac:dyDescent="0.25">
      <c r="A117" s="7" t="s">
        <v>339</v>
      </c>
    </row>
    <row r="118" spans="1:6" ht="13.9" hidden="1" customHeight="1" thickBot="1" x14ac:dyDescent="0.25">
      <c r="A118" s="57" t="s">
        <v>61</v>
      </c>
      <c r="B118" s="58" t="s">
        <v>62</v>
      </c>
      <c r="C118" s="58" t="s">
        <v>37</v>
      </c>
      <c r="D118" s="59" t="s">
        <v>234</v>
      </c>
      <c r="E118" s="59" t="s">
        <v>63</v>
      </c>
      <c r="F118" s="60" t="s">
        <v>64</v>
      </c>
    </row>
    <row r="119" spans="1:6" ht="13.9" hidden="1" customHeight="1" x14ac:dyDescent="0.2">
      <c r="A119" s="13" t="s">
        <v>215</v>
      </c>
      <c r="B119" s="14" t="s">
        <v>7</v>
      </c>
      <c r="C119" s="14">
        <v>1</v>
      </c>
      <c r="D119" s="15">
        <v>2300.9899999999998</v>
      </c>
      <c r="E119" s="15">
        <f>C119*D119</f>
        <v>2300.9899999999998</v>
      </c>
    </row>
    <row r="120" spans="1:6" ht="13.9" hidden="1" customHeight="1" x14ac:dyDescent="0.2">
      <c r="A120" s="108" t="s">
        <v>2</v>
      </c>
      <c r="B120" s="109"/>
      <c r="C120" s="109"/>
      <c r="D120" s="110"/>
      <c r="E120" s="111">
        <f>SUM(E119:E119)</f>
        <v>2300.9899999999998</v>
      </c>
      <c r="F120" s="44"/>
    </row>
    <row r="121" spans="1:6" ht="13.9" hidden="1" customHeight="1" x14ac:dyDescent="0.2">
      <c r="A121" s="16" t="s">
        <v>3</v>
      </c>
      <c r="B121" s="17" t="s">
        <v>1</v>
      </c>
      <c r="C121" s="131">
        <f>'3.Encargos Sociais'!$C$34*100</f>
        <v>74.95</v>
      </c>
      <c r="D121" s="18">
        <f>E120</f>
        <v>2300.9899999999998</v>
      </c>
      <c r="E121" s="18">
        <f>D121*C121/100</f>
        <v>1724.5920049999997</v>
      </c>
    </row>
    <row r="122" spans="1:6" ht="13.9" hidden="1" customHeight="1" x14ac:dyDescent="0.2">
      <c r="A122" s="108" t="s">
        <v>284</v>
      </c>
      <c r="B122" s="109"/>
      <c r="C122" s="109"/>
      <c r="D122" s="110"/>
      <c r="E122" s="111">
        <f>E120+E121</f>
        <v>4025.5820049999993</v>
      </c>
      <c r="F122" s="44"/>
    </row>
    <row r="123" spans="1:6" ht="13.9" hidden="1" customHeight="1" thickBot="1" x14ac:dyDescent="0.25">
      <c r="A123" s="16" t="s">
        <v>4</v>
      </c>
      <c r="B123" s="17" t="s">
        <v>5</v>
      </c>
      <c r="C123" s="82">
        <v>0</v>
      </c>
      <c r="D123" s="18">
        <f>E122</f>
        <v>4025.5820049999993</v>
      </c>
      <c r="E123" s="18">
        <f>C123*D123</f>
        <v>0</v>
      </c>
    </row>
    <row r="124" spans="1:6" ht="13.9" hidden="1" customHeight="1" thickBot="1" x14ac:dyDescent="0.25">
      <c r="A124" s="7" t="s">
        <v>340</v>
      </c>
      <c r="D124" s="115" t="s">
        <v>192</v>
      </c>
      <c r="E124" s="50">
        <v>0.13636363636363635</v>
      </c>
      <c r="F124" s="116">
        <f>E123*E124</f>
        <v>0</v>
      </c>
    </row>
    <row r="125" spans="1:6" ht="13.9" hidden="1" customHeight="1" x14ac:dyDescent="0.2">
      <c r="A125" s="7" t="s">
        <v>394</v>
      </c>
      <c r="D125" s="115"/>
      <c r="E125" s="56"/>
    </row>
    <row r="126" spans="1:6" ht="13.9" hidden="1" customHeight="1" x14ac:dyDescent="0.2">
      <c r="A126" s="7"/>
      <c r="D126" s="115"/>
      <c r="E126" s="56"/>
    </row>
    <row r="127" spans="1:6" ht="13.9" customHeight="1" x14ac:dyDescent="0.2">
      <c r="A127" s="7"/>
      <c r="D127" s="115"/>
      <c r="E127" s="56"/>
    </row>
    <row r="128" spans="1:6" ht="13.9" customHeight="1" x14ac:dyDescent="0.2">
      <c r="A128" s="7"/>
      <c r="D128" s="115"/>
      <c r="E128" s="56"/>
    </row>
    <row r="129" spans="1:8" ht="13.9" customHeight="1" x14ac:dyDescent="0.2">
      <c r="A129" s="7"/>
      <c r="D129" s="115"/>
      <c r="E129" s="56"/>
    </row>
    <row r="130" spans="1:8" ht="13.5" thickBot="1" x14ac:dyDescent="0.25">
      <c r="A130" s="7" t="s">
        <v>341</v>
      </c>
      <c r="B130" s="88"/>
      <c r="D130" s="9"/>
      <c r="E130" s="9"/>
    </row>
    <row r="131" spans="1:8" ht="13.5" thickBot="1" x14ac:dyDescent="0.25">
      <c r="A131" s="57" t="s">
        <v>61</v>
      </c>
      <c r="B131" s="58" t="s">
        <v>62</v>
      </c>
      <c r="C131" s="58" t="s">
        <v>37</v>
      </c>
      <c r="D131" s="59" t="s">
        <v>234</v>
      </c>
      <c r="E131" s="59" t="s">
        <v>63</v>
      </c>
      <c r="F131" s="60" t="s">
        <v>64</v>
      </c>
    </row>
    <row r="132" spans="1:8" x14ac:dyDescent="0.2">
      <c r="A132" s="16" t="s">
        <v>88</v>
      </c>
      <c r="B132" s="17" t="s">
        <v>32</v>
      </c>
      <c r="C132" s="89">
        <v>1</v>
      </c>
      <c r="D132" s="87">
        <v>3</v>
      </c>
      <c r="E132" s="18"/>
    </row>
    <row r="133" spans="1:8" x14ac:dyDescent="0.2">
      <c r="A133" s="16" t="s">
        <v>89</v>
      </c>
      <c r="B133" s="17" t="s">
        <v>90</v>
      </c>
      <c r="C133" s="86">
        <v>9</v>
      </c>
      <c r="D133" s="18"/>
      <c r="E133" s="18"/>
    </row>
    <row r="134" spans="1:8" x14ac:dyDescent="0.2">
      <c r="A134" s="16" t="s">
        <v>71</v>
      </c>
      <c r="B134" s="17" t="s">
        <v>8</v>
      </c>
      <c r="C134" s="37">
        <f>C133*C61*2</f>
        <v>54</v>
      </c>
      <c r="D134" s="15">
        <f>(D132*52-((E58*E62)*0.06))/52</f>
        <v>2.4838038461538465</v>
      </c>
      <c r="E134" s="18">
        <f>IFERROR(C134*D134,"-")</f>
        <v>134.1254076923077</v>
      </c>
    </row>
    <row r="135" spans="1:8" ht="13.5" thickBot="1" x14ac:dyDescent="0.25">
      <c r="A135" s="13" t="s">
        <v>41</v>
      </c>
      <c r="B135" s="14" t="s">
        <v>8</v>
      </c>
      <c r="C135" s="37">
        <f>C133*C87*2</f>
        <v>18</v>
      </c>
      <c r="D135" s="15">
        <f>(D132*52-((E84*E88)*0.06))/52</f>
        <v>2.0835954545454545</v>
      </c>
      <c r="E135" s="15">
        <f>IFERROR(C135*D135,"-")</f>
        <v>37.504718181818177</v>
      </c>
    </row>
    <row r="136" spans="1:8" ht="13.5" thickBot="1" x14ac:dyDescent="0.25">
      <c r="A136" s="7" t="s">
        <v>356</v>
      </c>
      <c r="F136" s="22">
        <f>SUM(E134:E135)</f>
        <v>171.63012587412589</v>
      </c>
    </row>
    <row r="137" spans="1:8" ht="11.25" customHeight="1" x14ac:dyDescent="0.2"/>
    <row r="138" spans="1:8" ht="13.5" thickBot="1" x14ac:dyDescent="0.25">
      <c r="A138" s="7" t="s">
        <v>357</v>
      </c>
      <c r="F138" s="23"/>
    </row>
    <row r="139" spans="1:8" ht="13.5" thickBot="1" x14ac:dyDescent="0.25">
      <c r="A139" s="57" t="s">
        <v>61</v>
      </c>
      <c r="B139" s="58" t="s">
        <v>62</v>
      </c>
      <c r="C139" s="58" t="s">
        <v>37</v>
      </c>
      <c r="D139" s="59" t="s">
        <v>234</v>
      </c>
      <c r="E139" s="59" t="s">
        <v>63</v>
      </c>
      <c r="F139" s="60" t="s">
        <v>64</v>
      </c>
    </row>
    <row r="140" spans="1:8" x14ac:dyDescent="0.2">
      <c r="A140" s="16" t="str">
        <f>+A134</f>
        <v>Coletor</v>
      </c>
      <c r="B140" s="17" t="s">
        <v>9</v>
      </c>
      <c r="C140" s="95">
        <f>(C61+C74)*9</f>
        <v>27</v>
      </c>
      <c r="D140" s="294">
        <f>16.73*0.81</f>
        <v>13.551300000000001</v>
      </c>
      <c r="E140" s="50">
        <f>C140*D140</f>
        <v>365.88510000000002</v>
      </c>
      <c r="F140" s="23"/>
      <c r="H140" s="81"/>
    </row>
    <row r="141" spans="1:8" ht="13.5" thickBot="1" x14ac:dyDescent="0.25">
      <c r="A141" s="16" t="str">
        <f>A135</f>
        <v>Motorista</v>
      </c>
      <c r="B141" s="17" t="s">
        <v>9</v>
      </c>
      <c r="C141" s="95">
        <f>(C87+C103)*9</f>
        <v>9</v>
      </c>
      <c r="D141" s="294">
        <f>Memória!D9</f>
        <v>8.9120000000000008</v>
      </c>
      <c r="E141" s="50">
        <f>C141*D141</f>
        <v>80.208000000000013</v>
      </c>
      <c r="F141" s="23"/>
      <c r="H141" s="81"/>
    </row>
    <row r="142" spans="1:8" ht="13.5" thickBot="1" x14ac:dyDescent="0.25">
      <c r="A142" s="7" t="s">
        <v>353</v>
      </c>
      <c r="F142" s="22">
        <f>SUM(E140:E141)</f>
        <v>446.09310000000005</v>
      </c>
    </row>
    <row r="143" spans="1:8" x14ac:dyDescent="0.2">
      <c r="A143" s="7" t="s">
        <v>354</v>
      </c>
    </row>
    <row r="144" spans="1:8" hidden="1" x14ac:dyDescent="0.2">
      <c r="A144" s="7"/>
    </row>
    <row r="145" spans="1:6" ht="13.5" hidden="1" thickBot="1" x14ac:dyDescent="0.25">
      <c r="A145" s="7" t="s">
        <v>358</v>
      </c>
      <c r="F145" s="23"/>
    </row>
    <row r="146" spans="1:6" ht="13.5" hidden="1" thickBot="1" x14ac:dyDescent="0.25">
      <c r="A146" s="57" t="s">
        <v>61</v>
      </c>
      <c r="B146" s="58" t="s">
        <v>62</v>
      </c>
      <c r="C146" s="58" t="s">
        <v>37</v>
      </c>
      <c r="D146" s="59" t="s">
        <v>234</v>
      </c>
      <c r="E146" s="59" t="s">
        <v>63</v>
      </c>
      <c r="F146" s="60" t="s">
        <v>64</v>
      </c>
    </row>
    <row r="147" spans="1:6" hidden="1" x14ac:dyDescent="0.2">
      <c r="A147" s="16" t="str">
        <f>+A140</f>
        <v>Coletor</v>
      </c>
      <c r="B147" s="17" t="s">
        <v>9</v>
      </c>
      <c r="C147" s="95">
        <f>E39+E40</f>
        <v>3</v>
      </c>
      <c r="D147" s="90"/>
      <c r="E147" s="50">
        <f>C147*D147</f>
        <v>0</v>
      </c>
      <c r="F147" s="23"/>
    </row>
    <row r="148" spans="1:6" ht="13.5" hidden="1" thickBot="1" x14ac:dyDescent="0.25">
      <c r="A148" s="16" t="s">
        <v>355</v>
      </c>
      <c r="B148" s="17" t="s">
        <v>9</v>
      </c>
      <c r="C148" s="95">
        <v>0</v>
      </c>
      <c r="D148" s="294">
        <f>Memória!D10</f>
        <v>59.576000000000001</v>
      </c>
      <c r="E148" s="50">
        <f>C148*D148</f>
        <v>0</v>
      </c>
      <c r="F148" s="23"/>
    </row>
    <row r="149" spans="1:6" ht="13.5" hidden="1" thickBot="1" x14ac:dyDescent="0.25">
      <c r="D149" s="115" t="s">
        <v>192</v>
      </c>
      <c r="E149" s="50">
        <f>E88</f>
        <v>0.40909090909090912</v>
      </c>
      <c r="F149" s="22">
        <f>SUM(E147:E148)*E149</f>
        <v>0</v>
      </c>
    </row>
    <row r="150" spans="1:6" ht="13.5" thickBot="1" x14ac:dyDescent="0.25"/>
    <row r="151" spans="1:6" ht="13.5" thickBot="1" x14ac:dyDescent="0.25">
      <c r="A151" s="24" t="s">
        <v>91</v>
      </c>
      <c r="B151" s="25"/>
      <c r="C151" s="25"/>
      <c r="D151" s="26"/>
      <c r="E151" s="27"/>
      <c r="F151" s="22">
        <f>F149+F142+F136+F114+F88+F75+F62+F104+F124</f>
        <v>4355.2277895104899</v>
      </c>
    </row>
    <row r="153" spans="1:6" x14ac:dyDescent="0.2">
      <c r="A153" s="11" t="s">
        <v>42</v>
      </c>
    </row>
    <row r="154" spans="1:6" ht="11.25" customHeight="1" x14ac:dyDescent="0.2"/>
    <row r="155" spans="1:6" ht="13.9" customHeight="1" x14ac:dyDescent="0.2">
      <c r="A155" s="11" t="s">
        <v>194</v>
      </c>
    </row>
    <row r="156" spans="1:6" ht="11.25" customHeight="1" thickBot="1" x14ac:dyDescent="0.25"/>
    <row r="157" spans="1:6" ht="27.75" customHeight="1" thickBot="1" x14ac:dyDescent="0.25">
      <c r="A157" s="57" t="s">
        <v>61</v>
      </c>
      <c r="B157" s="58" t="s">
        <v>62</v>
      </c>
      <c r="C157" s="259" t="s">
        <v>250</v>
      </c>
      <c r="D157" s="59" t="s">
        <v>234</v>
      </c>
      <c r="E157" s="59" t="s">
        <v>63</v>
      </c>
      <c r="F157" s="60" t="s">
        <v>64</v>
      </c>
    </row>
    <row r="158" spans="1:6" ht="13.15" customHeight="1" x14ac:dyDescent="0.2">
      <c r="A158" s="291" t="s">
        <v>65</v>
      </c>
      <c r="B158" s="292" t="s">
        <v>9</v>
      </c>
      <c r="C158" s="329">
        <v>6</v>
      </c>
      <c r="D158" s="293">
        <v>118</v>
      </c>
      <c r="E158" s="15">
        <f t="shared" ref="E158:E168" si="1">IFERROR(D158/C158,0)</f>
        <v>19.666666666666668</v>
      </c>
    </row>
    <row r="159" spans="1:6" ht="13.15" customHeight="1" x14ac:dyDescent="0.2">
      <c r="A159" s="16" t="s">
        <v>27</v>
      </c>
      <c r="B159" s="17" t="s">
        <v>9</v>
      </c>
      <c r="C159" s="329">
        <v>2</v>
      </c>
      <c r="D159" s="326">
        <v>46.7</v>
      </c>
      <c r="E159" s="15">
        <f t="shared" ref="E159" si="2">IFERROR(D159/C159,0)</f>
        <v>23.35</v>
      </c>
    </row>
    <row r="160" spans="1:6" x14ac:dyDescent="0.2">
      <c r="A160" s="16" t="s">
        <v>28</v>
      </c>
      <c r="B160" s="17" t="s">
        <v>9</v>
      </c>
      <c r="C160" s="329">
        <v>2</v>
      </c>
      <c r="D160" s="326">
        <v>35</v>
      </c>
      <c r="E160" s="15">
        <f t="shared" si="1"/>
        <v>17.5</v>
      </c>
    </row>
    <row r="161" spans="1:6" x14ac:dyDescent="0.2">
      <c r="A161" s="287" t="s">
        <v>278</v>
      </c>
      <c r="B161" s="17" t="s">
        <v>9</v>
      </c>
      <c r="C161" s="328">
        <v>4</v>
      </c>
      <c r="D161" s="83">
        <v>28</v>
      </c>
      <c r="E161" s="15">
        <f t="shared" ref="E161" si="3">IFERROR(D161/C161,0)</f>
        <v>7</v>
      </c>
    </row>
    <row r="162" spans="1:6" ht="13.15" customHeight="1" x14ac:dyDescent="0.2">
      <c r="A162" s="16" t="s">
        <v>29</v>
      </c>
      <c r="B162" s="17" t="s">
        <v>9</v>
      </c>
      <c r="C162" s="328">
        <v>4</v>
      </c>
      <c r="D162" s="326">
        <v>13</v>
      </c>
      <c r="E162" s="15">
        <f t="shared" si="1"/>
        <v>3.25</v>
      </c>
    </row>
    <row r="163" spans="1:6" ht="13.9" customHeight="1" x14ac:dyDescent="0.2">
      <c r="A163" s="287" t="s">
        <v>332</v>
      </c>
      <c r="B163" s="17" t="s">
        <v>45</v>
      </c>
      <c r="C163" s="328">
        <v>3</v>
      </c>
      <c r="D163" s="326">
        <v>36.9</v>
      </c>
      <c r="E163" s="15">
        <f t="shared" si="1"/>
        <v>12.299999999999999</v>
      </c>
    </row>
    <row r="164" spans="1:6" ht="13.15" customHeight="1" x14ac:dyDescent="0.2">
      <c r="A164" s="16" t="s">
        <v>92</v>
      </c>
      <c r="B164" s="17" t="s">
        <v>45</v>
      </c>
      <c r="C164" s="328">
        <v>2</v>
      </c>
      <c r="D164" s="326">
        <v>18</v>
      </c>
      <c r="E164" s="15">
        <f t="shared" si="1"/>
        <v>9</v>
      </c>
    </row>
    <row r="165" spans="1:6" x14ac:dyDescent="0.2">
      <c r="A165" s="16" t="s">
        <v>66</v>
      </c>
      <c r="B165" s="17" t="s">
        <v>9</v>
      </c>
      <c r="C165" s="328">
        <v>6</v>
      </c>
      <c r="D165" s="326">
        <v>23.6</v>
      </c>
      <c r="E165" s="15">
        <f t="shared" si="1"/>
        <v>3.9333333333333336</v>
      </c>
    </row>
    <row r="166" spans="1:6" s="1" customFormat="1" x14ac:dyDescent="0.2">
      <c r="A166" s="2" t="s">
        <v>10</v>
      </c>
      <c r="B166" s="3" t="s">
        <v>9</v>
      </c>
      <c r="C166" s="328">
        <v>4</v>
      </c>
      <c r="D166" s="326">
        <v>21</v>
      </c>
      <c r="E166" s="15">
        <f t="shared" si="1"/>
        <v>5.25</v>
      </c>
      <c r="F166" s="38"/>
    </row>
    <row r="167" spans="1:6" x14ac:dyDescent="0.2">
      <c r="A167" s="16" t="s">
        <v>30</v>
      </c>
      <c r="B167" s="17" t="s">
        <v>45</v>
      </c>
      <c r="C167" s="328">
        <v>1</v>
      </c>
      <c r="D167" s="326">
        <v>31.49</v>
      </c>
      <c r="E167" s="15">
        <f t="shared" si="1"/>
        <v>31.49</v>
      </c>
    </row>
    <row r="168" spans="1:6" ht="13.15" customHeight="1" x14ac:dyDescent="0.2">
      <c r="A168" s="16" t="s">
        <v>60</v>
      </c>
      <c r="B168" s="17" t="s">
        <v>46</v>
      </c>
      <c r="C168" s="328">
        <v>2</v>
      </c>
      <c r="D168" s="326">
        <v>24</v>
      </c>
      <c r="E168" s="15">
        <f t="shared" si="1"/>
        <v>12</v>
      </c>
    </row>
    <row r="169" spans="1:6" x14ac:dyDescent="0.2">
      <c r="A169" s="16" t="s">
        <v>195</v>
      </c>
      <c r="B169" s="17" t="s">
        <v>117</v>
      </c>
      <c r="C169" s="328">
        <v>1</v>
      </c>
      <c r="D169" s="326">
        <v>60</v>
      </c>
      <c r="E169" s="18">
        <f t="shared" ref="E169:E170" si="4">C169*D169</f>
        <v>60</v>
      </c>
    </row>
    <row r="170" spans="1:6" ht="13.5" thickBot="1" x14ac:dyDescent="0.25">
      <c r="A170" s="16" t="s">
        <v>4</v>
      </c>
      <c r="B170" s="17" t="s">
        <v>5</v>
      </c>
      <c r="C170" s="66">
        <f>E39+E40</f>
        <v>3</v>
      </c>
      <c r="D170" s="18">
        <f>+SUM(E158:E169)</f>
        <v>204.74</v>
      </c>
      <c r="E170" s="18">
        <f t="shared" si="4"/>
        <v>614.22</v>
      </c>
    </row>
    <row r="171" spans="1:6" ht="13.5" thickBot="1" x14ac:dyDescent="0.25">
      <c r="D171" s="115" t="s">
        <v>192</v>
      </c>
      <c r="E171" s="50">
        <f>$B$50</f>
        <v>0.25</v>
      </c>
      <c r="F171" s="116">
        <f>E170*E171</f>
        <v>153.55500000000001</v>
      </c>
    </row>
    <row r="172" spans="1:6" ht="11.25" customHeight="1" x14ac:dyDescent="0.2"/>
    <row r="173" spans="1:6" ht="13.9" customHeight="1" x14ac:dyDescent="0.2">
      <c r="A173" s="9" t="s">
        <v>196</v>
      </c>
    </row>
    <row r="174" spans="1:6" ht="11.25" customHeight="1" thickBot="1" x14ac:dyDescent="0.25"/>
    <row r="175" spans="1:6" ht="24.75" thickBot="1" x14ac:dyDescent="0.25">
      <c r="A175" s="57" t="s">
        <v>61</v>
      </c>
      <c r="B175" s="58" t="s">
        <v>62</v>
      </c>
      <c r="C175" s="259" t="s">
        <v>250</v>
      </c>
      <c r="D175" s="59" t="s">
        <v>234</v>
      </c>
      <c r="E175" s="59" t="s">
        <v>63</v>
      </c>
      <c r="F175" s="60" t="s">
        <v>64</v>
      </c>
    </row>
    <row r="176" spans="1:6" x14ac:dyDescent="0.2">
      <c r="A176" s="291" t="s">
        <v>65</v>
      </c>
      <c r="B176" s="292" t="s">
        <v>9</v>
      </c>
      <c r="C176" s="329">
        <v>6</v>
      </c>
      <c r="D176" s="293">
        <f>D158</f>
        <v>118</v>
      </c>
      <c r="E176" s="15">
        <f t="shared" ref="E176:E181" si="5">IFERROR(D176/C176,0)</f>
        <v>19.666666666666668</v>
      </c>
    </row>
    <row r="177" spans="1:6" x14ac:dyDescent="0.2">
      <c r="A177" s="16" t="s">
        <v>27</v>
      </c>
      <c r="B177" s="17" t="s">
        <v>9</v>
      </c>
      <c r="C177" s="328">
        <v>2</v>
      </c>
      <c r="D177" s="83">
        <f>D159</f>
        <v>46.7</v>
      </c>
      <c r="E177" s="15">
        <f t="shared" si="5"/>
        <v>23.35</v>
      </c>
    </row>
    <row r="178" spans="1:6" x14ac:dyDescent="0.2">
      <c r="A178" s="16" t="s">
        <v>28</v>
      </c>
      <c r="B178" s="17" t="s">
        <v>9</v>
      </c>
      <c r="C178" s="328">
        <v>1</v>
      </c>
      <c r="D178" s="83">
        <f>D160</f>
        <v>35</v>
      </c>
      <c r="E178" s="15">
        <f t="shared" si="5"/>
        <v>35</v>
      </c>
    </row>
    <row r="179" spans="1:6" x14ac:dyDescent="0.2">
      <c r="A179" s="287" t="s">
        <v>333</v>
      </c>
      <c r="B179" s="17" t="s">
        <v>45</v>
      </c>
      <c r="C179" s="328">
        <v>3</v>
      </c>
      <c r="D179" s="83">
        <f>D163</f>
        <v>36.9</v>
      </c>
      <c r="E179" s="15">
        <f t="shared" si="5"/>
        <v>12.299999999999999</v>
      </c>
    </row>
    <row r="180" spans="1:6" x14ac:dyDescent="0.2">
      <c r="A180" s="16" t="s">
        <v>66</v>
      </c>
      <c r="B180" s="17" t="s">
        <v>9</v>
      </c>
      <c r="C180" s="328">
        <v>6</v>
      </c>
      <c r="D180" s="83">
        <f>D165</f>
        <v>23.6</v>
      </c>
      <c r="E180" s="15">
        <f t="shared" si="5"/>
        <v>3.9333333333333336</v>
      </c>
    </row>
    <row r="181" spans="1:6" x14ac:dyDescent="0.2">
      <c r="A181" s="16" t="s">
        <v>60</v>
      </c>
      <c r="B181" s="17" t="s">
        <v>46</v>
      </c>
      <c r="C181" s="328">
        <v>3</v>
      </c>
      <c r="D181" s="83">
        <v>24</v>
      </c>
      <c r="E181" s="15">
        <f t="shared" si="5"/>
        <v>8</v>
      </c>
    </row>
    <row r="182" spans="1:6" x14ac:dyDescent="0.2">
      <c r="A182" s="16" t="s">
        <v>195</v>
      </c>
      <c r="B182" s="17" t="s">
        <v>117</v>
      </c>
      <c r="C182" s="113">
        <v>1</v>
      </c>
      <c r="D182" s="83">
        <f>D169</f>
        <v>60</v>
      </c>
      <c r="E182" s="18">
        <f t="shared" ref="E182:E183" si="6">C182*D182</f>
        <v>60</v>
      </c>
    </row>
    <row r="183" spans="1:6" ht="13.5" thickBot="1" x14ac:dyDescent="0.25">
      <c r="A183" s="16" t="s">
        <v>4</v>
      </c>
      <c r="B183" s="17" t="s">
        <v>5</v>
      </c>
      <c r="C183" s="66">
        <f>E41+E42</f>
        <v>1</v>
      </c>
      <c r="D183" s="18">
        <f>+SUM(E176:E182)</f>
        <v>162.25</v>
      </c>
      <c r="E183" s="18">
        <f t="shared" si="6"/>
        <v>162.25</v>
      </c>
    </row>
    <row r="184" spans="1:6" ht="13.5" thickBot="1" x14ac:dyDescent="0.25">
      <c r="D184" s="115" t="s">
        <v>192</v>
      </c>
      <c r="E184" s="50">
        <f>E88</f>
        <v>0.40909090909090912</v>
      </c>
      <c r="F184" s="116">
        <f>E183*E184</f>
        <v>66.375</v>
      </c>
    </row>
    <row r="185" spans="1:6" ht="11.25" customHeight="1" thickBot="1" x14ac:dyDescent="0.25"/>
    <row r="186" spans="1:6" ht="13.5" thickBot="1" x14ac:dyDescent="0.25">
      <c r="A186" s="24" t="s">
        <v>197</v>
      </c>
      <c r="B186" s="28"/>
      <c r="C186" s="28"/>
      <c r="D186" s="29"/>
      <c r="E186" s="30"/>
      <c r="F186" s="21">
        <f>+F171+F184</f>
        <v>219.93</v>
      </c>
    </row>
    <row r="187" spans="1:6" ht="11.25" customHeight="1" x14ac:dyDescent="0.2"/>
    <row r="188" spans="1:6" x14ac:dyDescent="0.2">
      <c r="A188" s="11" t="s">
        <v>51</v>
      </c>
    </row>
    <row r="189" spans="1:6" ht="11.25" customHeight="1" x14ac:dyDescent="0.2">
      <c r="B189" s="100"/>
    </row>
    <row r="190" spans="1:6" x14ac:dyDescent="0.2">
      <c r="A190" s="7" t="s">
        <v>331</v>
      </c>
    </row>
    <row r="191" spans="1:6" ht="11.25" customHeight="1" x14ac:dyDescent="0.2"/>
    <row r="192" spans="1:6" ht="13.5" thickBot="1" x14ac:dyDescent="0.25">
      <c r="A192" s="100" t="s">
        <v>43</v>
      </c>
    </row>
    <row r="193" spans="1:6" ht="13.5" thickBot="1" x14ac:dyDescent="0.25">
      <c r="A193" s="57" t="s">
        <v>61</v>
      </c>
      <c r="B193" s="58" t="s">
        <v>62</v>
      </c>
      <c r="C193" s="58" t="s">
        <v>37</v>
      </c>
      <c r="D193" s="59" t="s">
        <v>234</v>
      </c>
      <c r="E193" s="59" t="s">
        <v>63</v>
      </c>
      <c r="F193" s="60" t="s">
        <v>64</v>
      </c>
    </row>
    <row r="194" spans="1:6" x14ac:dyDescent="0.2">
      <c r="A194" s="13" t="s">
        <v>104</v>
      </c>
      <c r="B194" s="14" t="s">
        <v>9</v>
      </c>
      <c r="C194" s="265">
        <v>1</v>
      </c>
      <c r="D194" s="293">
        <v>213974</v>
      </c>
      <c r="E194" s="15">
        <f>C194*D194</f>
        <v>213974</v>
      </c>
    </row>
    <row r="195" spans="1:6" x14ac:dyDescent="0.2">
      <c r="A195" s="16" t="s">
        <v>98</v>
      </c>
      <c r="B195" s="17" t="s">
        <v>99</v>
      </c>
      <c r="C195" s="82">
        <v>8</v>
      </c>
      <c r="D195" s="80"/>
      <c r="E195" s="18"/>
    </row>
    <row r="196" spans="1:6" x14ac:dyDescent="0.2">
      <c r="A196" s="16" t="s">
        <v>210</v>
      </c>
      <c r="B196" s="17" t="s">
        <v>99</v>
      </c>
      <c r="C196" s="82">
        <v>4</v>
      </c>
      <c r="D196" s="18"/>
      <c r="E196" s="18"/>
      <c r="F196" s="20"/>
    </row>
    <row r="197" spans="1:6" x14ac:dyDescent="0.2">
      <c r="A197" s="16" t="s">
        <v>102</v>
      </c>
      <c r="B197" s="17" t="s">
        <v>1</v>
      </c>
      <c r="C197" s="131">
        <f>IFERROR(VLOOKUP(C195,'6. Depreciação'!A3:B17,2,FALSE),0)</f>
        <v>62.12</v>
      </c>
      <c r="D197" s="18">
        <f>E194</f>
        <v>213974</v>
      </c>
      <c r="E197" s="18">
        <f>C197*D197/100</f>
        <v>132920.6488</v>
      </c>
    </row>
    <row r="198" spans="1:6" ht="13.5" thickBot="1" x14ac:dyDescent="0.25">
      <c r="A198" s="271" t="s">
        <v>47</v>
      </c>
      <c r="B198" s="272" t="s">
        <v>7</v>
      </c>
      <c r="C198" s="272">
        <f>C195*12</f>
        <v>96</v>
      </c>
      <c r="D198" s="273">
        <f>IF(C196&lt;=C195,E197,0)</f>
        <v>132920.6488</v>
      </c>
      <c r="E198" s="273">
        <f>IFERROR(D198/C198,0)</f>
        <v>1384.5900916666667</v>
      </c>
    </row>
    <row r="199" spans="1:6" ht="13.5" thickTop="1" x14ac:dyDescent="0.2">
      <c r="A199" s="13" t="s">
        <v>103</v>
      </c>
      <c r="B199" s="14" t="s">
        <v>9</v>
      </c>
      <c r="C199" s="14">
        <f>C194</f>
        <v>1</v>
      </c>
      <c r="D199" s="83">
        <v>70000</v>
      </c>
      <c r="E199" s="15">
        <f>C199*D199</f>
        <v>70000</v>
      </c>
    </row>
    <row r="200" spans="1:6" x14ac:dyDescent="0.2">
      <c r="A200" s="16" t="s">
        <v>100</v>
      </c>
      <c r="B200" s="17" t="s">
        <v>99</v>
      </c>
      <c r="C200" s="82">
        <v>8</v>
      </c>
      <c r="D200" s="18"/>
      <c r="E200" s="18"/>
    </row>
    <row r="201" spans="1:6" x14ac:dyDescent="0.2">
      <c r="A201" s="16" t="s">
        <v>211</v>
      </c>
      <c r="B201" s="17" t="s">
        <v>99</v>
      </c>
      <c r="C201" s="82">
        <v>4</v>
      </c>
      <c r="D201" s="18"/>
      <c r="E201" s="18"/>
      <c r="F201" s="20"/>
    </row>
    <row r="202" spans="1:6" x14ac:dyDescent="0.2">
      <c r="A202" s="16" t="s">
        <v>101</v>
      </c>
      <c r="B202" s="17" t="s">
        <v>1</v>
      </c>
      <c r="C202" s="132">
        <f>IFERROR(VLOOKUP(C200,'6. Depreciação'!A3:B17,2,FALSE),0)</f>
        <v>62.12</v>
      </c>
      <c r="D202" s="18">
        <f>E199</f>
        <v>70000</v>
      </c>
      <c r="E202" s="18">
        <f>C202*D202/100</f>
        <v>43484</v>
      </c>
    </row>
    <row r="203" spans="1:6" x14ac:dyDescent="0.2">
      <c r="A203" s="96" t="s">
        <v>105</v>
      </c>
      <c r="B203" s="97" t="s">
        <v>7</v>
      </c>
      <c r="C203" s="97">
        <f>C200*12</f>
        <v>96</v>
      </c>
      <c r="D203" s="98">
        <f>IF(C201&lt;=C200,E202,0)</f>
        <v>43484</v>
      </c>
      <c r="E203" s="98">
        <f>IFERROR(D203/C203,0)</f>
        <v>452.95833333333331</v>
      </c>
    </row>
    <row r="204" spans="1:6" x14ac:dyDescent="0.2">
      <c r="A204" s="108" t="s">
        <v>253</v>
      </c>
      <c r="B204" s="109"/>
      <c r="C204" s="109"/>
      <c r="D204" s="110"/>
      <c r="E204" s="111">
        <f>E198+E203</f>
        <v>1837.548425</v>
      </c>
    </row>
    <row r="205" spans="1:6" ht="13.5" thickBot="1" x14ac:dyDescent="0.25">
      <c r="A205" s="96" t="s">
        <v>254</v>
      </c>
      <c r="B205" s="97" t="s">
        <v>9</v>
      </c>
      <c r="C205" s="82">
        <v>1.1000000000000001</v>
      </c>
      <c r="D205" s="98">
        <f>E204</f>
        <v>1837.548425</v>
      </c>
      <c r="E205" s="111">
        <f>C205*D205</f>
        <v>2021.3032675000002</v>
      </c>
    </row>
    <row r="206" spans="1:6" ht="13.5" thickBot="1" x14ac:dyDescent="0.25">
      <c r="A206" s="264"/>
      <c r="B206" s="264"/>
      <c r="C206" s="264"/>
      <c r="D206" s="115" t="s">
        <v>192</v>
      </c>
      <c r="E206" s="50">
        <f>E184</f>
        <v>0.40909090909090912</v>
      </c>
      <c r="F206" s="21">
        <f>E205*E206</f>
        <v>826.89679125000009</v>
      </c>
    </row>
    <row r="207" spans="1:6" ht="11.25" customHeight="1" x14ac:dyDescent="0.2"/>
    <row r="208" spans="1:6" ht="13.5" thickBot="1" x14ac:dyDescent="0.25">
      <c r="A208" s="100" t="s">
        <v>108</v>
      </c>
    </row>
    <row r="209" spans="1:6" ht="13.5" thickBot="1" x14ac:dyDescent="0.25">
      <c r="A209" s="102" t="s">
        <v>61</v>
      </c>
      <c r="B209" s="103" t="s">
        <v>62</v>
      </c>
      <c r="C209" s="103" t="s">
        <v>37</v>
      </c>
      <c r="D209" s="59" t="s">
        <v>234</v>
      </c>
      <c r="E209" s="104" t="s">
        <v>63</v>
      </c>
      <c r="F209" s="60" t="s">
        <v>64</v>
      </c>
    </row>
    <row r="210" spans="1:6" x14ac:dyDescent="0.2">
      <c r="A210" s="16" t="s">
        <v>106</v>
      </c>
      <c r="B210" s="17" t="s">
        <v>9</v>
      </c>
      <c r="C210" s="265">
        <v>1</v>
      </c>
      <c r="D210" s="18">
        <f>D194</f>
        <v>213974</v>
      </c>
      <c r="E210" s="18">
        <f>C210*D210</f>
        <v>213974</v>
      </c>
      <c r="F210" s="20"/>
    </row>
    <row r="211" spans="1:6" x14ac:dyDescent="0.2">
      <c r="A211" s="16" t="s">
        <v>214</v>
      </c>
      <c r="B211" s="17" t="s">
        <v>1</v>
      </c>
      <c r="C211" s="82">
        <v>5.5</v>
      </c>
      <c r="D211" s="18"/>
      <c r="E211" s="18"/>
      <c r="F211" s="20"/>
    </row>
    <row r="212" spans="1:6" x14ac:dyDescent="0.2">
      <c r="A212" s="16" t="s">
        <v>212</v>
      </c>
      <c r="B212" s="17" t="s">
        <v>32</v>
      </c>
      <c r="C212" s="139">
        <f>IFERROR(IF(C196&lt;=C195,E194-(C197/(100*C195)*C196)*E194,E194-E197),0)</f>
        <v>147513.67560000002</v>
      </c>
      <c r="D212" s="18"/>
      <c r="E212" s="18"/>
      <c r="F212" s="20"/>
    </row>
    <row r="213" spans="1:6" x14ac:dyDescent="0.2">
      <c r="A213" s="16" t="s">
        <v>110</v>
      </c>
      <c r="B213" s="17" t="s">
        <v>32</v>
      </c>
      <c r="C213" s="80">
        <f>IFERROR(IF(C196&gt;=C195,C212,((((C212)-(E194-E197))*(((C195-C196)+1)/(2*(C195-C196))))+(E194-E197))),0)</f>
        <v>122591.05395000002</v>
      </c>
      <c r="D213" s="18"/>
      <c r="E213" s="18"/>
      <c r="F213" s="20"/>
    </row>
    <row r="214" spans="1:6" ht="13.5" thickBot="1" x14ac:dyDescent="0.25">
      <c r="A214" s="271" t="s">
        <v>111</v>
      </c>
      <c r="B214" s="272" t="s">
        <v>32</v>
      </c>
      <c r="C214" s="272"/>
      <c r="D214" s="274">
        <f>C211*C213/12/100</f>
        <v>561.87566393750012</v>
      </c>
      <c r="E214" s="273">
        <f>D214</f>
        <v>561.87566393750012</v>
      </c>
      <c r="F214" s="20"/>
    </row>
    <row r="215" spans="1:6" ht="13.5" thickTop="1" x14ac:dyDescent="0.2">
      <c r="A215" s="13" t="s">
        <v>107</v>
      </c>
      <c r="B215" s="14" t="s">
        <v>9</v>
      </c>
      <c r="C215" s="14">
        <f>C199</f>
        <v>1</v>
      </c>
      <c r="D215" s="15">
        <f>D199</f>
        <v>70000</v>
      </c>
      <c r="E215" s="15">
        <f>C215*D215</f>
        <v>70000</v>
      </c>
      <c r="F215" s="20"/>
    </row>
    <row r="216" spans="1:6" x14ac:dyDescent="0.2">
      <c r="A216" s="16" t="s">
        <v>214</v>
      </c>
      <c r="B216" s="17" t="s">
        <v>1</v>
      </c>
      <c r="C216" s="266">
        <f>C211</f>
        <v>5.5</v>
      </c>
      <c r="D216" s="18"/>
      <c r="E216" s="18"/>
      <c r="F216" s="20"/>
    </row>
    <row r="217" spans="1:6" x14ac:dyDescent="0.2">
      <c r="A217" s="16" t="s">
        <v>213</v>
      </c>
      <c r="B217" s="17" t="s">
        <v>32</v>
      </c>
      <c r="C217" s="139">
        <f>IFERROR(IF(C201&lt;=C200,E199-(C202/(100*C200)*C201)*E199,E199-E202),0)</f>
        <v>48258</v>
      </c>
      <c r="D217" s="18"/>
      <c r="E217" s="18"/>
      <c r="F217" s="20"/>
    </row>
    <row r="218" spans="1:6" x14ac:dyDescent="0.2">
      <c r="A218" s="16" t="s">
        <v>112</v>
      </c>
      <c r="B218" s="17" t="s">
        <v>32</v>
      </c>
      <c r="C218" s="80">
        <f>IFERROR(IF(C201&gt;=C200,C217,((((C217)-(E199-E202))*(((C200-C201)+1)/(2*(C200-C201))))+(E199-E202))),0)</f>
        <v>40104.75</v>
      </c>
      <c r="D218" s="18"/>
      <c r="E218" s="18"/>
      <c r="F218" s="20"/>
    </row>
    <row r="219" spans="1:6" x14ac:dyDescent="0.2">
      <c r="A219" s="96" t="s">
        <v>109</v>
      </c>
      <c r="B219" s="97" t="s">
        <v>32</v>
      </c>
      <c r="C219" s="97"/>
      <c r="D219" s="105">
        <f>C216*C218/12/100</f>
        <v>183.81343749999999</v>
      </c>
      <c r="E219" s="98">
        <f>D219</f>
        <v>183.81343749999999</v>
      </c>
      <c r="F219" s="20"/>
    </row>
    <row r="220" spans="1:6" x14ac:dyDescent="0.2">
      <c r="A220" s="108" t="s">
        <v>253</v>
      </c>
      <c r="B220" s="109"/>
      <c r="C220" s="109"/>
      <c r="D220" s="110"/>
      <c r="E220" s="111">
        <f>E214+E219</f>
        <v>745.68910143750009</v>
      </c>
      <c r="F220" s="20"/>
    </row>
    <row r="221" spans="1:6" ht="13.5" thickBot="1" x14ac:dyDescent="0.25">
      <c r="A221" s="96" t="s">
        <v>254</v>
      </c>
      <c r="B221" s="97" t="s">
        <v>9</v>
      </c>
      <c r="C221" s="266">
        <f>C205</f>
        <v>1.1000000000000001</v>
      </c>
      <c r="D221" s="98">
        <f>E220</f>
        <v>745.68910143750009</v>
      </c>
      <c r="E221" s="111">
        <f>C221*D221</f>
        <v>820.25801158125012</v>
      </c>
      <c r="F221" s="20"/>
    </row>
    <row r="222" spans="1:6" ht="13.5" thickBot="1" x14ac:dyDescent="0.25">
      <c r="C222" s="19"/>
      <c r="D222" s="115" t="s">
        <v>192</v>
      </c>
      <c r="E222" s="50">
        <f>E206</f>
        <v>0.40909090909090912</v>
      </c>
      <c r="F222" s="21">
        <f>E221*E222</f>
        <v>335.56009564687508</v>
      </c>
    </row>
    <row r="223" spans="1:6" ht="11.25" customHeight="1" x14ac:dyDescent="0.2"/>
    <row r="224" spans="1:6" ht="13.5" thickBot="1" x14ac:dyDescent="0.25">
      <c r="A224" s="9" t="s">
        <v>48</v>
      </c>
    </row>
    <row r="225" spans="1:6" ht="13.5" thickBot="1" x14ac:dyDescent="0.25">
      <c r="A225" s="57" t="s">
        <v>61</v>
      </c>
      <c r="B225" s="58" t="s">
        <v>62</v>
      </c>
      <c r="C225" s="58" t="s">
        <v>37</v>
      </c>
      <c r="D225" s="59" t="s">
        <v>234</v>
      </c>
      <c r="E225" s="59" t="s">
        <v>63</v>
      </c>
      <c r="F225" s="60" t="s">
        <v>64</v>
      </c>
    </row>
    <row r="226" spans="1:6" x14ac:dyDescent="0.2">
      <c r="A226" s="13" t="s">
        <v>11</v>
      </c>
      <c r="B226" s="14" t="s">
        <v>9</v>
      </c>
      <c r="C226" s="15">
        <f>C205</f>
        <v>1.1000000000000001</v>
      </c>
      <c r="D226" s="15">
        <f>0.01*($C$212)</f>
        <v>1475.1367560000001</v>
      </c>
      <c r="E226" s="15">
        <f>C226*D226</f>
        <v>1622.6504316000003</v>
      </c>
    </row>
    <row r="227" spans="1:6" x14ac:dyDescent="0.2">
      <c r="A227" s="16" t="s">
        <v>191</v>
      </c>
      <c r="B227" s="17" t="s">
        <v>9</v>
      </c>
      <c r="C227" s="15">
        <f>C205</f>
        <v>1.1000000000000001</v>
      </c>
      <c r="D227" s="85">
        <v>150</v>
      </c>
      <c r="E227" s="18">
        <f>C227*D227</f>
        <v>165</v>
      </c>
    </row>
    <row r="228" spans="1:6" x14ac:dyDescent="0.2">
      <c r="A228" s="16" t="s">
        <v>12</v>
      </c>
      <c r="B228" s="17" t="s">
        <v>9</v>
      </c>
      <c r="C228" s="15">
        <f>C205</f>
        <v>1.1000000000000001</v>
      </c>
      <c r="D228" s="85">
        <v>2744</v>
      </c>
      <c r="E228" s="18">
        <f>C228*D228</f>
        <v>3018.4</v>
      </c>
      <c r="F228" s="31"/>
    </row>
    <row r="229" spans="1:6" ht="13.5" thickBot="1" x14ac:dyDescent="0.25">
      <c r="A229" s="96" t="s">
        <v>13</v>
      </c>
      <c r="B229" s="97" t="s">
        <v>7</v>
      </c>
      <c r="C229" s="97">
        <v>12</v>
      </c>
      <c r="D229" s="98">
        <f>SUM(E226:E228)</f>
        <v>4806.0504316000006</v>
      </c>
      <c r="E229" s="98">
        <f>D229/C229</f>
        <v>400.50420263333336</v>
      </c>
    </row>
    <row r="230" spans="1:6" ht="13.5" thickBot="1" x14ac:dyDescent="0.25">
      <c r="D230" s="115" t="s">
        <v>192</v>
      </c>
      <c r="E230" s="50">
        <f>E222</f>
        <v>0.40909090909090912</v>
      </c>
      <c r="F230" s="116">
        <f>E229*E230</f>
        <v>163.84262835000001</v>
      </c>
    </row>
    <row r="231" spans="1:6" ht="11.25" customHeight="1" x14ac:dyDescent="0.2"/>
    <row r="232" spans="1:6" x14ac:dyDescent="0.2">
      <c r="A232" s="9" t="s">
        <v>49</v>
      </c>
      <c r="B232" s="32"/>
    </row>
    <row r="233" spans="1:6" x14ac:dyDescent="0.2">
      <c r="B233" s="32"/>
    </row>
    <row r="234" spans="1:6" x14ac:dyDescent="0.2">
      <c r="A234" s="96" t="s">
        <v>114</v>
      </c>
      <c r="B234" s="380">
        <f>'Rotas Org'!F32</f>
        <v>1989.4294285714286</v>
      </c>
    </row>
    <row r="235" spans="1:6" ht="13.5" thickBot="1" x14ac:dyDescent="0.25">
      <c r="B235" s="32"/>
    </row>
    <row r="236" spans="1:6" ht="13.5" thickBot="1" x14ac:dyDescent="0.25">
      <c r="A236" s="57" t="s">
        <v>61</v>
      </c>
      <c r="B236" s="58" t="s">
        <v>62</v>
      </c>
      <c r="C236" s="58" t="s">
        <v>252</v>
      </c>
      <c r="D236" s="59" t="s">
        <v>234</v>
      </c>
      <c r="E236" s="59" t="s">
        <v>63</v>
      </c>
      <c r="F236" s="60" t="s">
        <v>64</v>
      </c>
    </row>
    <row r="237" spans="1:6" x14ac:dyDescent="0.2">
      <c r="A237" s="291" t="s">
        <v>412</v>
      </c>
      <c r="B237" s="14" t="s">
        <v>14</v>
      </c>
      <c r="C237" s="92">
        <v>2</v>
      </c>
      <c r="D237" s="93">
        <v>3.55</v>
      </c>
      <c r="E237" s="15"/>
    </row>
    <row r="238" spans="1:6" x14ac:dyDescent="0.2">
      <c r="A238" s="16" t="s">
        <v>15</v>
      </c>
      <c r="B238" s="17" t="s">
        <v>16</v>
      </c>
      <c r="C238" s="18">
        <f>'Rotas Org'!F33</f>
        <v>417.42942857142856</v>
      </c>
      <c r="D238" s="263">
        <f>IFERROR(+D237/C237,"-")</f>
        <v>1.7749999999999999</v>
      </c>
      <c r="E238" s="18">
        <f>IFERROR(C238*D238,"-")</f>
        <v>740.93723571428563</v>
      </c>
    </row>
    <row r="239" spans="1:6" x14ac:dyDescent="0.2">
      <c r="A239" s="291" t="s">
        <v>413</v>
      </c>
      <c r="B239" s="14" t="s">
        <v>14</v>
      </c>
      <c r="C239" s="92">
        <v>2.5</v>
      </c>
      <c r="D239" s="93">
        <v>3.55</v>
      </c>
      <c r="E239" s="15"/>
    </row>
    <row r="240" spans="1:6" x14ac:dyDescent="0.2">
      <c r="A240" s="16" t="s">
        <v>15</v>
      </c>
      <c r="B240" s="288" t="s">
        <v>16</v>
      </c>
      <c r="C240" s="18">
        <f>'Rotas Org'!F34</f>
        <v>1572</v>
      </c>
      <c r="D240" s="263">
        <f>IFERROR(+D239/C239,"-")</f>
        <v>1.42</v>
      </c>
      <c r="E240" s="18">
        <f>IFERROR(C240*D240,"-")</f>
        <v>2232.2399999999998</v>
      </c>
    </row>
    <row r="241" spans="1:8" x14ac:dyDescent="0.2">
      <c r="A241" s="16" t="s">
        <v>235</v>
      </c>
      <c r="B241" s="17" t="s">
        <v>17</v>
      </c>
      <c r="C241" s="330">
        <v>1.33</v>
      </c>
      <c r="D241" s="295">
        <v>15.5</v>
      </c>
      <c r="E241" s="18"/>
    </row>
    <row r="242" spans="1:8" x14ac:dyDescent="0.2">
      <c r="A242" s="16" t="s">
        <v>18</v>
      </c>
      <c r="B242" s="17" t="s">
        <v>16</v>
      </c>
      <c r="C242" s="18">
        <f>B234</f>
        <v>1989.4294285714286</v>
      </c>
      <c r="D242" s="260">
        <f>+C241*D241/1000</f>
        <v>2.0615000000000001E-2</v>
      </c>
      <c r="E242" s="18">
        <f>C242*D242</f>
        <v>41.012087670000007</v>
      </c>
    </row>
    <row r="243" spans="1:8" x14ac:dyDescent="0.2">
      <c r="A243" s="16" t="s">
        <v>236</v>
      </c>
      <c r="B243" s="17" t="s">
        <v>17</v>
      </c>
      <c r="C243" s="330">
        <v>0.18</v>
      </c>
      <c r="D243" s="295">
        <v>21.86</v>
      </c>
      <c r="E243" s="18"/>
    </row>
    <row r="244" spans="1:8" x14ac:dyDescent="0.2">
      <c r="A244" s="16" t="s">
        <v>19</v>
      </c>
      <c r="B244" s="17" t="s">
        <v>16</v>
      </c>
      <c r="C244" s="18">
        <f>B234</f>
        <v>1989.4294285714286</v>
      </c>
      <c r="D244" s="260">
        <f>+C243*D243/1000</f>
        <v>3.9347999999999996E-3</v>
      </c>
      <c r="E244" s="18">
        <f>C244*D244</f>
        <v>7.8280069155428569</v>
      </c>
    </row>
    <row r="245" spans="1:8" x14ac:dyDescent="0.2">
      <c r="A245" s="287" t="s">
        <v>418</v>
      </c>
      <c r="B245" s="288" t="s">
        <v>17</v>
      </c>
      <c r="C245" s="330">
        <v>0.5</v>
      </c>
      <c r="D245" s="295">
        <v>33.5</v>
      </c>
      <c r="E245" s="383"/>
    </row>
    <row r="246" spans="1:8" x14ac:dyDescent="0.2">
      <c r="A246" s="287" t="s">
        <v>419</v>
      </c>
      <c r="B246" s="288" t="s">
        <v>16</v>
      </c>
      <c r="C246" s="383">
        <f>B234</f>
        <v>1989.4294285714286</v>
      </c>
      <c r="D246" s="384">
        <f>+C245*D245/1000</f>
        <v>1.6750000000000001E-2</v>
      </c>
      <c r="E246" s="383">
        <f>C246*D246</f>
        <v>33.322942928571429</v>
      </c>
    </row>
    <row r="247" spans="1:8" x14ac:dyDescent="0.2">
      <c r="A247" s="287" t="s">
        <v>359</v>
      </c>
      <c r="B247" s="288" t="s">
        <v>17</v>
      </c>
      <c r="C247" s="330">
        <v>25</v>
      </c>
      <c r="D247" s="295">
        <v>1.8</v>
      </c>
      <c r="E247" s="18"/>
    </row>
    <row r="248" spans="1:8" x14ac:dyDescent="0.2">
      <c r="A248" s="287" t="s">
        <v>360</v>
      </c>
      <c r="B248" s="17" t="s">
        <v>16</v>
      </c>
      <c r="C248" s="18">
        <f>B234</f>
        <v>1989.4294285714286</v>
      </c>
      <c r="D248" s="260">
        <f>+C247*D247/1000</f>
        <v>4.4999999999999998E-2</v>
      </c>
      <c r="E248" s="18">
        <f>C248*D248</f>
        <v>89.524324285714286</v>
      </c>
    </row>
    <row r="249" spans="1:8" x14ac:dyDescent="0.2">
      <c r="A249" s="16" t="s">
        <v>20</v>
      </c>
      <c r="B249" s="17" t="s">
        <v>21</v>
      </c>
      <c r="C249" s="330">
        <v>0.5</v>
      </c>
      <c r="D249" s="295">
        <v>20.41</v>
      </c>
      <c r="E249" s="18"/>
    </row>
    <row r="250" spans="1:8" x14ac:dyDescent="0.2">
      <c r="A250" s="16" t="s">
        <v>22</v>
      </c>
      <c r="B250" s="17" t="s">
        <v>16</v>
      </c>
      <c r="C250" s="18">
        <f>B234</f>
        <v>1989.4294285714286</v>
      </c>
      <c r="D250" s="260">
        <f>+C249*D249/1000</f>
        <v>1.0205000000000001E-2</v>
      </c>
      <c r="E250" s="18">
        <f>C250*D250</f>
        <v>20.302127318571429</v>
      </c>
    </row>
    <row r="251" spans="1:8" ht="13.5" thickBot="1" x14ac:dyDescent="0.25">
      <c r="A251" s="96" t="s">
        <v>251</v>
      </c>
      <c r="B251" s="97" t="s">
        <v>115</v>
      </c>
      <c r="C251" s="261"/>
      <c r="D251" s="262">
        <f>IFERROR(D238+D242+D244+D248+D250,0)</f>
        <v>1.8547547999999998</v>
      </c>
      <c r="E251" s="18"/>
    </row>
    <row r="252" spans="1:8" ht="13.5" thickBot="1" x14ac:dyDescent="0.25">
      <c r="F252" s="21">
        <f>SUM(E237:E250)</f>
        <v>3165.1667248326853</v>
      </c>
    </row>
    <row r="253" spans="1:8" ht="13.5" thickBot="1" x14ac:dyDescent="0.25">
      <c r="A253" s="9" t="s">
        <v>50</v>
      </c>
    </row>
    <row r="254" spans="1:8" ht="13.5" thickBot="1" x14ac:dyDescent="0.25">
      <c r="A254" s="57" t="s">
        <v>61</v>
      </c>
      <c r="B254" s="58" t="s">
        <v>62</v>
      </c>
      <c r="C254" s="58" t="s">
        <v>37</v>
      </c>
      <c r="D254" s="59" t="s">
        <v>234</v>
      </c>
      <c r="E254" s="59" t="s">
        <v>63</v>
      </c>
      <c r="F254" s="60" t="s">
        <v>64</v>
      </c>
    </row>
    <row r="255" spans="1:8" ht="13.5" thickBot="1" x14ac:dyDescent="0.25">
      <c r="A255" s="13" t="s">
        <v>113</v>
      </c>
      <c r="B255" s="14" t="s">
        <v>115</v>
      </c>
      <c r="C255" s="18">
        <f>B234</f>
        <v>1989.4294285714286</v>
      </c>
      <c r="D255" s="83">
        <v>0.79</v>
      </c>
      <c r="E255" s="15">
        <f>C255*D255</f>
        <v>1571.6492485714286</v>
      </c>
    </row>
    <row r="256" spans="1:8" ht="13.5" thickBot="1" x14ac:dyDescent="0.25">
      <c r="F256" s="21">
        <f>E255</f>
        <v>1571.6492485714286</v>
      </c>
      <c r="H256" s="81"/>
    </row>
    <row r="257" spans="1:6" ht="13.5" thickBot="1" x14ac:dyDescent="0.25">
      <c r="A257" s="9" t="s">
        <v>59</v>
      </c>
    </row>
    <row r="258" spans="1:6" ht="13.5" thickBot="1" x14ac:dyDescent="0.25">
      <c r="A258" s="57" t="s">
        <v>61</v>
      </c>
      <c r="B258" s="58" t="s">
        <v>62</v>
      </c>
      <c r="C258" s="58" t="s">
        <v>37</v>
      </c>
      <c r="D258" s="59" t="s">
        <v>234</v>
      </c>
      <c r="E258" s="59" t="s">
        <v>63</v>
      </c>
      <c r="F258" s="60" t="s">
        <v>64</v>
      </c>
    </row>
    <row r="259" spans="1:6" x14ac:dyDescent="0.2">
      <c r="A259" s="291" t="s">
        <v>329</v>
      </c>
      <c r="B259" s="14" t="s">
        <v>9</v>
      </c>
      <c r="C259" s="91">
        <v>6</v>
      </c>
      <c r="D259" s="83">
        <v>1577</v>
      </c>
      <c r="E259" s="15">
        <f>C259*D259</f>
        <v>9462</v>
      </c>
    </row>
    <row r="260" spans="1:6" x14ac:dyDescent="0.2">
      <c r="A260" s="13" t="s">
        <v>116</v>
      </c>
      <c r="B260" s="14" t="s">
        <v>9</v>
      </c>
      <c r="C260" s="91">
        <v>2</v>
      </c>
      <c r="D260" s="99"/>
      <c r="E260" s="15"/>
    </row>
    <row r="261" spans="1:6" x14ac:dyDescent="0.2">
      <c r="A261" s="13" t="s">
        <v>68</v>
      </c>
      <c r="B261" s="14" t="s">
        <v>9</v>
      </c>
      <c r="C261" s="15">
        <f>C259*C260</f>
        <v>12</v>
      </c>
      <c r="D261" s="83">
        <v>550</v>
      </c>
      <c r="E261" s="15">
        <f>C261*D261</f>
        <v>6600</v>
      </c>
    </row>
    <row r="262" spans="1:6" x14ac:dyDescent="0.2">
      <c r="A262" s="287" t="s">
        <v>330</v>
      </c>
      <c r="B262" s="17" t="s">
        <v>23</v>
      </c>
      <c r="C262" s="94">
        <v>70000</v>
      </c>
      <c r="D262" s="18">
        <f>E259+E261</f>
        <v>16062</v>
      </c>
      <c r="E262" s="18">
        <f>IFERROR(D262/C262,"-")</f>
        <v>0.22945714285714286</v>
      </c>
    </row>
    <row r="263" spans="1:6" ht="13.5" thickBot="1" x14ac:dyDescent="0.25">
      <c r="A263" s="16" t="s">
        <v>52</v>
      </c>
      <c r="B263" s="17" t="s">
        <v>16</v>
      </c>
      <c r="C263" s="18">
        <f>B234</f>
        <v>1989.4294285714286</v>
      </c>
      <c r="D263" s="18">
        <f>E262</f>
        <v>0.22945714285714286</v>
      </c>
      <c r="E263" s="18">
        <f>IFERROR(C263*D263,0)</f>
        <v>456.48879259591837</v>
      </c>
    </row>
    <row r="264" spans="1:6" ht="13.5" thickBot="1" x14ac:dyDescent="0.25">
      <c r="F264" s="21">
        <f>E263</f>
        <v>456.48879259591837</v>
      </c>
    </row>
    <row r="265" spans="1:6" ht="11.25" customHeight="1" thickBot="1" x14ac:dyDescent="0.25"/>
    <row r="266" spans="1:6" ht="13.5" thickBot="1" x14ac:dyDescent="0.25">
      <c r="A266" s="24" t="s">
        <v>225</v>
      </c>
      <c r="B266" s="25"/>
      <c r="C266" s="25"/>
      <c r="D266" s="26"/>
      <c r="E266" s="27"/>
      <c r="F266" s="21">
        <f>+SUM(F194:F265)</f>
        <v>6519.6042812469077</v>
      </c>
    </row>
    <row r="267" spans="1:6" ht="11.25" customHeight="1" x14ac:dyDescent="0.2"/>
    <row r="268" spans="1:6" x14ac:dyDescent="0.2">
      <c r="A268" s="34" t="s">
        <v>72</v>
      </c>
      <c r="B268" s="34"/>
      <c r="C268" s="34"/>
      <c r="D268" s="35"/>
      <c r="E268" s="35"/>
      <c r="F268" s="33"/>
    </row>
    <row r="269" spans="1:6" ht="11.25" customHeight="1" thickBot="1" x14ac:dyDescent="0.25"/>
    <row r="270" spans="1:6" ht="13.5" thickBot="1" x14ac:dyDescent="0.25">
      <c r="A270" s="57" t="s">
        <v>61</v>
      </c>
      <c r="B270" s="58" t="s">
        <v>62</v>
      </c>
      <c r="C270" s="58" t="s">
        <v>361</v>
      </c>
      <c r="D270" s="59" t="s">
        <v>234</v>
      </c>
      <c r="E270" s="59" t="s">
        <v>63</v>
      </c>
      <c r="F270" s="60" t="s">
        <v>64</v>
      </c>
    </row>
    <row r="271" spans="1:6" x14ac:dyDescent="0.2">
      <c r="A271" s="16" t="s">
        <v>69</v>
      </c>
      <c r="B271" s="17" t="s">
        <v>9</v>
      </c>
      <c r="C271" s="331">
        <v>6</v>
      </c>
      <c r="D271" s="83">
        <v>39</v>
      </c>
      <c r="E271" s="18">
        <f>D271/C271</f>
        <v>6.5</v>
      </c>
      <c r="F271" s="54"/>
    </row>
    <row r="272" spans="1:6" x14ac:dyDescent="0.2">
      <c r="A272" s="16" t="s">
        <v>25</v>
      </c>
      <c r="B272" s="17" t="s">
        <v>9</v>
      </c>
      <c r="C272" s="331">
        <v>6</v>
      </c>
      <c r="D272" s="83">
        <v>26.92</v>
      </c>
      <c r="E272" s="18">
        <f t="shared" ref="E272:E275" si="7">D272/C272</f>
        <v>4.4866666666666672</v>
      </c>
      <c r="F272" s="54"/>
    </row>
    <row r="273" spans="1:6" x14ac:dyDescent="0.2">
      <c r="A273" s="16" t="s">
        <v>26</v>
      </c>
      <c r="B273" s="17" t="s">
        <v>9</v>
      </c>
      <c r="C273" s="331">
        <v>6</v>
      </c>
      <c r="D273" s="83">
        <v>26.19</v>
      </c>
      <c r="E273" s="18">
        <f t="shared" si="7"/>
        <v>4.3650000000000002</v>
      </c>
      <c r="F273" s="54"/>
    </row>
    <row r="274" spans="1:6" x14ac:dyDescent="0.2">
      <c r="A274" s="287" t="s">
        <v>54</v>
      </c>
      <c r="B274" s="17" t="s">
        <v>55</v>
      </c>
      <c r="C274" s="331">
        <v>12</v>
      </c>
      <c r="D274" s="83">
        <v>400</v>
      </c>
      <c r="E274" s="18">
        <f t="shared" si="7"/>
        <v>33.333333333333336</v>
      </c>
      <c r="F274" s="54"/>
    </row>
    <row r="275" spans="1:6" x14ac:dyDescent="0.2">
      <c r="A275" s="16" t="s">
        <v>57</v>
      </c>
      <c r="B275" s="17" t="s">
        <v>55</v>
      </c>
      <c r="C275" s="331">
        <v>12</v>
      </c>
      <c r="D275" s="83">
        <v>400</v>
      </c>
      <c r="E275" s="18">
        <f t="shared" si="7"/>
        <v>33.333333333333336</v>
      </c>
      <c r="F275" s="54"/>
    </row>
    <row r="276" spans="1:6" ht="13.5" thickBot="1" x14ac:dyDescent="0.25">
      <c r="A276" s="96" t="s">
        <v>254</v>
      </c>
      <c r="B276" s="97" t="s">
        <v>9</v>
      </c>
      <c r="C276" s="80">
        <f>C205</f>
        <v>1.1000000000000001</v>
      </c>
      <c r="D276" s="98">
        <f>SUM(E271:E275)</f>
        <v>82.018333333333345</v>
      </c>
      <c r="E276" s="98">
        <f>C276*D276</f>
        <v>90.220166666666685</v>
      </c>
      <c r="F276" s="54"/>
    </row>
    <row r="277" spans="1:6" ht="13.5" thickBot="1" x14ac:dyDescent="0.25">
      <c r="A277" s="34"/>
      <c r="B277" s="34"/>
      <c r="C277" s="34"/>
      <c r="D277" s="34"/>
      <c r="E277" s="35"/>
      <c r="F277" s="21">
        <f>E276</f>
        <v>90.220166666666685</v>
      </c>
    </row>
    <row r="278" spans="1:6" ht="11.25" customHeight="1" thickBot="1" x14ac:dyDescent="0.25"/>
    <row r="279" spans="1:6" ht="13.5" thickBot="1" x14ac:dyDescent="0.25">
      <c r="A279" s="24" t="s">
        <v>226</v>
      </c>
      <c r="B279" s="25"/>
      <c r="C279" s="25"/>
      <c r="D279" s="26"/>
      <c r="E279" s="27"/>
      <c r="F279" s="21">
        <f>+F277</f>
        <v>90.220166666666685</v>
      </c>
    </row>
    <row r="280" spans="1:6" ht="11.25" customHeight="1" x14ac:dyDescent="0.2"/>
    <row r="281" spans="1:6" ht="11.25" customHeight="1" x14ac:dyDescent="0.2"/>
    <row r="282" spans="1:6" ht="11.25" customHeight="1" x14ac:dyDescent="0.2"/>
    <row r="283" spans="1:6" ht="11.25" customHeight="1" x14ac:dyDescent="0.2"/>
    <row r="284" spans="1:6" x14ac:dyDescent="0.2">
      <c r="A284" s="34" t="s">
        <v>395</v>
      </c>
      <c r="B284" s="34"/>
      <c r="C284" s="34"/>
      <c r="D284" s="35"/>
      <c r="E284" s="35"/>
      <c r="F284" s="33"/>
    </row>
    <row r="285" spans="1:6" ht="11.25" customHeight="1" thickBot="1" x14ac:dyDescent="0.25"/>
    <row r="286" spans="1:6" ht="13.5" thickBot="1" x14ac:dyDescent="0.25">
      <c r="A286" s="57" t="s">
        <v>61</v>
      </c>
      <c r="B286" s="58" t="s">
        <v>62</v>
      </c>
      <c r="C286" s="58" t="s">
        <v>37</v>
      </c>
      <c r="D286" s="59" t="s">
        <v>234</v>
      </c>
      <c r="E286" s="59" t="s">
        <v>63</v>
      </c>
      <c r="F286" s="60" t="s">
        <v>64</v>
      </c>
    </row>
    <row r="287" spans="1:6" x14ac:dyDescent="0.2">
      <c r="A287" s="287" t="s">
        <v>396</v>
      </c>
      <c r="B287" s="52" t="s">
        <v>397</v>
      </c>
      <c r="C287" s="366">
        <f>Ton!C22</f>
        <v>66.166666666666671</v>
      </c>
      <c r="D287" s="85">
        <v>87</v>
      </c>
      <c r="E287" s="18">
        <f>+D287*C287</f>
        <v>5756.5</v>
      </c>
      <c r="F287" s="54"/>
    </row>
    <row r="288" spans="1:6" s="51" customFormat="1" ht="11.25" customHeight="1" thickBot="1" x14ac:dyDescent="0.25">
      <c r="A288" s="9"/>
      <c r="B288" s="9"/>
      <c r="C288" s="9"/>
      <c r="D288" s="10"/>
      <c r="E288" s="10"/>
      <c r="F288" s="10"/>
    </row>
    <row r="289" spans="1:6" ht="13.5" thickBot="1" x14ac:dyDescent="0.25">
      <c r="A289" s="24" t="s">
        <v>398</v>
      </c>
      <c r="B289" s="25"/>
      <c r="C289" s="25"/>
      <c r="D289" s="26"/>
      <c r="E289" s="27"/>
      <c r="F289" s="21">
        <f>E287</f>
        <v>5756.5</v>
      </c>
    </row>
    <row r="290" spans="1:6" x14ac:dyDescent="0.2">
      <c r="A290" s="34"/>
      <c r="B290" s="34"/>
      <c r="C290" s="34"/>
      <c r="D290" s="35"/>
      <c r="E290" s="35"/>
    </row>
    <row r="291" spans="1:6" hidden="1" x14ac:dyDescent="0.2">
      <c r="A291" s="11" t="s">
        <v>362</v>
      </c>
    </row>
    <row r="292" spans="1:6" ht="13.5" hidden="1" thickBot="1" x14ac:dyDescent="0.25">
      <c r="A292" s="7"/>
    </row>
    <row r="293" spans="1:6" ht="13.5" hidden="1" thickBot="1" x14ac:dyDescent="0.25">
      <c r="A293" s="57" t="s">
        <v>61</v>
      </c>
      <c r="B293" s="58" t="s">
        <v>62</v>
      </c>
      <c r="C293" s="58" t="s">
        <v>37</v>
      </c>
      <c r="D293" s="59" t="s">
        <v>234</v>
      </c>
      <c r="E293" s="59" t="s">
        <v>63</v>
      </c>
      <c r="F293" s="60" t="s">
        <v>64</v>
      </c>
    </row>
    <row r="294" spans="1:6" hidden="1" x14ac:dyDescent="0.2">
      <c r="A294" s="291" t="s">
        <v>363</v>
      </c>
      <c r="B294" s="14" t="s">
        <v>115</v>
      </c>
      <c r="C294" s="89">
        <v>0</v>
      </c>
      <c r="D294" s="83">
        <v>1.22</v>
      </c>
      <c r="E294" s="15">
        <f>C294*D294</f>
        <v>0</v>
      </c>
    </row>
    <row r="295" spans="1:6" hidden="1" x14ac:dyDescent="0.2">
      <c r="A295" s="291" t="s">
        <v>373</v>
      </c>
      <c r="B295" s="292" t="s">
        <v>364</v>
      </c>
      <c r="C295" s="145">
        <v>0</v>
      </c>
      <c r="D295" s="83">
        <v>1000</v>
      </c>
      <c r="E295" s="15">
        <f>C295*D295</f>
        <v>0</v>
      </c>
    </row>
    <row r="296" spans="1:6" ht="13.5" hidden="1" thickBot="1" x14ac:dyDescent="0.25">
      <c r="A296" s="287" t="s">
        <v>372</v>
      </c>
      <c r="B296" s="52" t="s">
        <v>364</v>
      </c>
      <c r="C296" s="145">
        <v>0</v>
      </c>
      <c r="D296" s="83">
        <v>2500</v>
      </c>
      <c r="E296" s="15">
        <f>C296*D296</f>
        <v>0</v>
      </c>
      <c r="F296" s="54"/>
    </row>
    <row r="297" spans="1:6" ht="13.5" hidden="1" thickBot="1" x14ac:dyDescent="0.25">
      <c r="A297" s="78"/>
      <c r="B297" s="78"/>
      <c r="C297" s="78"/>
      <c r="D297" s="115" t="s">
        <v>192</v>
      </c>
      <c r="E297" s="50" t="e">
        <f>#REF!</f>
        <v>#REF!</v>
      </c>
      <c r="F297" s="79">
        <f>SUM(E294:E296)</f>
        <v>0</v>
      </c>
    </row>
    <row r="298" spans="1:6" ht="11.25" customHeight="1" thickBot="1" x14ac:dyDescent="0.25"/>
    <row r="299" spans="1:6" ht="17.25" customHeight="1" thickBot="1" x14ac:dyDescent="0.25">
      <c r="A299" s="24" t="s">
        <v>227</v>
      </c>
      <c r="B299" s="28"/>
      <c r="C299" s="28"/>
      <c r="D299" s="29"/>
      <c r="E299" s="30"/>
      <c r="F299" s="22">
        <f>+F151+F186+F266+F279+F289+F297</f>
        <v>16941.482237424065</v>
      </c>
    </row>
    <row r="300" spans="1:6" ht="11.25" customHeight="1" x14ac:dyDescent="0.2"/>
    <row r="301" spans="1:6" x14ac:dyDescent="0.2">
      <c r="A301" s="11" t="s">
        <v>399</v>
      </c>
    </row>
    <row r="302" spans="1:6" ht="11.25" customHeight="1" thickBot="1" x14ac:dyDescent="0.25"/>
    <row r="303" spans="1:6" ht="13.5" thickBot="1" x14ac:dyDescent="0.25">
      <c r="A303" s="57" t="s">
        <v>61</v>
      </c>
      <c r="B303" s="58" t="s">
        <v>62</v>
      </c>
      <c r="C303" s="58" t="s">
        <v>37</v>
      </c>
      <c r="D303" s="59" t="s">
        <v>234</v>
      </c>
      <c r="E303" s="59" t="s">
        <v>63</v>
      </c>
      <c r="F303" s="60" t="s">
        <v>64</v>
      </c>
    </row>
    <row r="304" spans="1:6" ht="13.5" thickBot="1" x14ac:dyDescent="0.25">
      <c r="A304" s="13" t="s">
        <v>33</v>
      </c>
      <c r="B304" s="14" t="s">
        <v>1</v>
      </c>
      <c r="C304" s="131">
        <f>'5.BDI'!C18*100</f>
        <v>23.880000000000003</v>
      </c>
      <c r="D304" s="15">
        <f>+F299</f>
        <v>16941.482237424065</v>
      </c>
      <c r="E304" s="15">
        <f>C304*D304/100</f>
        <v>4045.6259582968673</v>
      </c>
    </row>
    <row r="305" spans="1:6" ht="13.5" thickBot="1" x14ac:dyDescent="0.25">
      <c r="F305" s="21">
        <f>+E304</f>
        <v>4045.6259582968673</v>
      </c>
    </row>
    <row r="306" spans="1:6" ht="11.25" customHeight="1" thickBot="1" x14ac:dyDescent="0.25"/>
    <row r="307" spans="1:6" ht="13.5" thickBot="1" x14ac:dyDescent="0.25">
      <c r="A307" s="24" t="s">
        <v>238</v>
      </c>
      <c r="B307" s="28"/>
      <c r="C307" s="28"/>
      <c r="D307" s="29"/>
      <c r="E307" s="30"/>
      <c r="F307" s="22">
        <f>F305</f>
        <v>4045.6259582968673</v>
      </c>
    </row>
    <row r="308" spans="1:6" x14ac:dyDescent="0.2">
      <c r="A308" s="34"/>
      <c r="B308" s="34"/>
      <c r="C308" s="34"/>
      <c r="D308" s="35"/>
      <c r="E308" s="35"/>
      <c r="F308" s="33"/>
    </row>
    <row r="309" spans="1:6" ht="11.25" customHeight="1" thickBot="1" x14ac:dyDescent="0.25"/>
    <row r="310" spans="1:6" ht="24.75" customHeight="1" thickBot="1" x14ac:dyDescent="0.25">
      <c r="A310" s="24" t="s">
        <v>228</v>
      </c>
      <c r="B310" s="28"/>
      <c r="C310" s="28"/>
      <c r="D310" s="29"/>
      <c r="E310" s="30"/>
      <c r="F310" s="22">
        <f>F299+F307</f>
        <v>20987.108195720932</v>
      </c>
    </row>
    <row r="311" spans="1:6" ht="14.25" x14ac:dyDescent="0.2">
      <c r="A311" s="8"/>
      <c r="B311" s="8"/>
      <c r="C311" s="8"/>
      <c r="D311" s="36"/>
      <c r="E311" s="36"/>
    </row>
    <row r="312" spans="1:6" ht="16.149999999999999" hidden="1" customHeight="1" x14ac:dyDescent="0.2">
      <c r="A312" s="96" t="s">
        <v>221</v>
      </c>
      <c r="B312" s="16"/>
      <c r="C312" s="16"/>
      <c r="D312" s="335">
        <f>Ton!C22</f>
        <v>66.166666666666671</v>
      </c>
      <c r="E312" s="336" t="s">
        <v>24</v>
      </c>
    </row>
    <row r="313" spans="1:6" ht="13.5" hidden="1" thickBot="1" x14ac:dyDescent="0.25"/>
    <row r="314" spans="1:6" ht="25.5" hidden="1" customHeight="1" thickBot="1" x14ac:dyDescent="0.25">
      <c r="A314" s="24" t="s">
        <v>67</v>
      </c>
      <c r="B314" s="25"/>
      <c r="C314" s="25"/>
      <c r="D314" s="26"/>
      <c r="E314" s="245" t="s">
        <v>31</v>
      </c>
      <c r="F314" s="246">
        <f>IFERROR(F310/D312,"-")</f>
        <v>317.18551429301152</v>
      </c>
    </row>
    <row r="315" spans="1:6" ht="12.6" customHeight="1" x14ac:dyDescent="0.2">
      <c r="A315" s="34"/>
      <c r="B315" s="34"/>
      <c r="C315" s="34"/>
      <c r="D315" s="35"/>
      <c r="E315" s="35"/>
      <c r="F315" s="35"/>
    </row>
    <row r="316" spans="1:6" s="4" customFormat="1" ht="9.75" customHeight="1" x14ac:dyDescent="0.2">
      <c r="A316" s="39"/>
      <c r="B316" s="10"/>
      <c r="C316" s="10"/>
      <c r="D316" s="10"/>
      <c r="E316" s="10"/>
      <c r="F316" s="10"/>
    </row>
    <row r="317" spans="1:6" s="4" customFormat="1" ht="9.75" customHeight="1" x14ac:dyDescent="0.2">
      <c r="A317" s="39"/>
      <c r="B317" s="10"/>
      <c r="C317" s="10"/>
      <c r="D317" s="10"/>
      <c r="E317" s="10"/>
      <c r="F317" s="10"/>
    </row>
    <row r="318" spans="1:6" s="4" customFormat="1" ht="9.75" customHeight="1" x14ac:dyDescent="0.2">
      <c r="A318" s="39"/>
      <c r="B318" s="10"/>
      <c r="C318" s="10"/>
      <c r="D318" s="10"/>
      <c r="E318" s="10"/>
      <c r="F318" s="10"/>
    </row>
    <row r="348" spans="4:6" ht="9" customHeight="1" x14ac:dyDescent="0.2">
      <c r="D348" s="9"/>
      <c r="E348" s="9"/>
      <c r="F348" s="9"/>
    </row>
  </sheetData>
  <mergeCells count="7">
    <mergeCell ref="A46:D46"/>
    <mergeCell ref="A21:C21"/>
    <mergeCell ref="A6:F6"/>
    <mergeCell ref="A7:F7"/>
    <mergeCell ref="A38:D38"/>
    <mergeCell ref="A9:F9"/>
    <mergeCell ref="A37:E37"/>
  </mergeCells>
  <phoneticPr fontId="18" type="noConversion"/>
  <hyperlinks>
    <hyperlink ref="A208" location="AbaRemun" display="3.1.2. Remuneração do Capital"/>
    <hyperlink ref="A192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5" fitToHeight="4" orientation="portrait" verticalDpi="300" r:id="rId1"/>
  <headerFooter alignWithMargins="0">
    <oddFooter>&amp;R&amp;P de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opLeftCell="A43" workbookViewId="0">
      <selection activeCell="A3" sqref="A3"/>
    </sheetView>
  </sheetViews>
  <sheetFormatPr defaultColWidth="8.85546875" defaultRowHeight="15" x14ac:dyDescent="0.25"/>
  <cols>
    <col min="1" max="1" width="8.85546875" style="277"/>
    <col min="2" max="2" width="11.42578125" style="277" customWidth="1"/>
    <col min="3" max="3" width="20.28515625" style="277" bestFit="1" customWidth="1"/>
    <col min="4" max="5" width="8.85546875" style="277"/>
    <col min="6" max="6" width="13.28515625" style="277" customWidth="1"/>
    <col min="7" max="16384" width="8.85546875" style="277"/>
  </cols>
  <sheetData>
    <row r="1" spans="1:6" x14ac:dyDescent="0.25">
      <c r="A1" s="276" t="s">
        <v>280</v>
      </c>
    </row>
    <row r="2" spans="1:6" x14ac:dyDescent="0.25">
      <c r="A2" s="276" t="s">
        <v>407</v>
      </c>
    </row>
    <row r="3" spans="1:6" x14ac:dyDescent="0.25">
      <c r="A3" s="278" t="s">
        <v>261</v>
      </c>
      <c r="B3" s="278" t="s">
        <v>262</v>
      </c>
      <c r="C3" s="278" t="s">
        <v>277</v>
      </c>
      <c r="D3" s="278" t="s">
        <v>263</v>
      </c>
      <c r="E3" s="278" t="s">
        <v>264</v>
      </c>
      <c r="F3" s="278" t="s">
        <v>265</v>
      </c>
    </row>
    <row r="4" spans="1:6" x14ac:dyDescent="0.25">
      <c r="A4" s="279">
        <v>3</v>
      </c>
      <c r="B4" s="278" t="s">
        <v>266</v>
      </c>
      <c r="C4" s="278" t="s">
        <v>404</v>
      </c>
      <c r="D4" s="280">
        <v>0.3125</v>
      </c>
      <c r="E4" s="280">
        <v>0.58333333333333337</v>
      </c>
      <c r="F4" s="280">
        <v>0.22916666666666666</v>
      </c>
    </row>
    <row r="5" spans="1:6" x14ac:dyDescent="0.25">
      <c r="A5" s="278"/>
      <c r="B5" s="278"/>
      <c r="C5" s="278"/>
      <c r="D5" s="278"/>
      <c r="E5" s="280"/>
      <c r="F5" s="280"/>
    </row>
    <row r="6" spans="1:6" x14ac:dyDescent="0.25">
      <c r="A6" s="279">
        <v>1</v>
      </c>
      <c r="B6" s="278" t="s">
        <v>41</v>
      </c>
      <c r="C6" s="278" t="s">
        <v>404</v>
      </c>
      <c r="D6" s="280">
        <v>0.25</v>
      </c>
      <c r="E6" s="280">
        <v>0.66666666666666663</v>
      </c>
      <c r="F6" s="280">
        <v>0.375</v>
      </c>
    </row>
    <row r="7" spans="1:6" x14ac:dyDescent="0.25">
      <c r="A7" s="276" t="s">
        <v>402</v>
      </c>
    </row>
    <row r="9" spans="1:6" x14ac:dyDescent="0.25">
      <c r="A9" s="276" t="s">
        <v>276</v>
      </c>
    </row>
    <row r="10" spans="1:6" x14ac:dyDescent="0.25">
      <c r="A10" s="282" t="s">
        <v>267</v>
      </c>
      <c r="B10" s="283"/>
      <c r="C10" s="283"/>
      <c r="D10" s="283"/>
      <c r="E10" s="283"/>
      <c r="F10" s="281">
        <v>5.5</v>
      </c>
    </row>
    <row r="11" spans="1:6" x14ac:dyDescent="0.25">
      <c r="A11" s="298" t="s">
        <v>287</v>
      </c>
      <c r="B11" s="283"/>
      <c r="C11" s="283"/>
      <c r="D11" s="283"/>
      <c r="E11" s="283"/>
      <c r="F11" s="281">
        <v>2</v>
      </c>
    </row>
    <row r="12" spans="1:6" x14ac:dyDescent="0.25">
      <c r="A12" s="282" t="s">
        <v>268</v>
      </c>
      <c r="B12" s="283"/>
      <c r="C12" s="283"/>
      <c r="D12" s="283"/>
      <c r="E12" s="283"/>
      <c r="F12" s="281">
        <f>F10*F11</f>
        <v>11</v>
      </c>
    </row>
    <row r="13" spans="1:6" x14ac:dyDescent="0.25">
      <c r="A13" s="282" t="s">
        <v>269</v>
      </c>
      <c r="B13" s="283"/>
      <c r="C13" s="283"/>
      <c r="D13" s="283"/>
      <c r="E13" s="283"/>
      <c r="F13" s="281">
        <v>6</v>
      </c>
    </row>
    <row r="14" spans="1:6" x14ac:dyDescent="0.25">
      <c r="A14" s="282" t="s">
        <v>270</v>
      </c>
      <c r="B14" s="283"/>
      <c r="C14" s="283"/>
      <c r="D14" s="283"/>
      <c r="E14" s="283"/>
      <c r="F14" s="281">
        <v>7</v>
      </c>
    </row>
    <row r="15" spans="1:6" x14ac:dyDescent="0.25">
      <c r="A15" s="282" t="s">
        <v>271</v>
      </c>
      <c r="B15" s="283"/>
      <c r="C15" s="283"/>
      <c r="D15" s="283"/>
      <c r="E15" s="283"/>
      <c r="F15" s="378">
        <f>F12/F13</f>
        <v>1.8333333333333333</v>
      </c>
    </row>
    <row r="16" spans="1:6" x14ac:dyDescent="0.25">
      <c r="A16" s="282" t="s">
        <v>272</v>
      </c>
      <c r="B16" s="283"/>
      <c r="C16" s="283"/>
      <c r="D16" s="283"/>
      <c r="E16" s="283"/>
      <c r="F16" s="281">
        <v>30</v>
      </c>
    </row>
    <row r="17" spans="1:8" x14ac:dyDescent="0.25">
      <c r="A17" s="284" t="s">
        <v>273</v>
      </c>
      <c r="B17" s="285"/>
      <c r="C17" s="285"/>
      <c r="D17" s="285"/>
      <c r="E17" s="285"/>
      <c r="F17" s="278">
        <f>F15*F16</f>
        <v>55</v>
      </c>
      <c r="H17" s="365"/>
    </row>
    <row r="18" spans="1:8" x14ac:dyDescent="0.25">
      <c r="A18" s="284" t="s">
        <v>327</v>
      </c>
      <c r="B18" s="285"/>
      <c r="C18" s="285"/>
      <c r="D18" s="285"/>
      <c r="E18" s="285"/>
      <c r="F18" s="278">
        <v>220</v>
      </c>
    </row>
    <row r="19" spans="1:8" x14ac:dyDescent="0.25">
      <c r="A19" s="284" t="s">
        <v>328</v>
      </c>
      <c r="B19" s="285"/>
      <c r="C19" s="285"/>
      <c r="D19" s="285"/>
      <c r="E19" s="285"/>
      <c r="F19" s="313">
        <f>F17/F18</f>
        <v>0.25</v>
      </c>
    </row>
    <row r="21" spans="1:8" x14ac:dyDescent="0.25">
      <c r="A21" s="276" t="s">
        <v>274</v>
      </c>
    </row>
    <row r="22" spans="1:8" x14ac:dyDescent="0.25">
      <c r="A22" s="282" t="s">
        <v>275</v>
      </c>
      <c r="B22" s="283"/>
      <c r="C22" s="283"/>
      <c r="D22" s="283"/>
      <c r="E22" s="283"/>
      <c r="F22" s="281">
        <v>9</v>
      </c>
    </row>
    <row r="23" spans="1:8" x14ac:dyDescent="0.25">
      <c r="A23" s="298" t="s">
        <v>287</v>
      </c>
      <c r="B23" s="283"/>
      <c r="C23" s="283"/>
      <c r="D23" s="283"/>
      <c r="E23" s="283"/>
      <c r="F23" s="281">
        <v>2</v>
      </c>
    </row>
    <row r="24" spans="1:8" x14ac:dyDescent="0.25">
      <c r="A24" s="282" t="s">
        <v>268</v>
      </c>
      <c r="B24" s="283"/>
      <c r="C24" s="283"/>
      <c r="D24" s="283"/>
      <c r="E24" s="283"/>
      <c r="F24" s="364">
        <f>F22*F23</f>
        <v>18</v>
      </c>
    </row>
    <row r="25" spans="1:8" x14ac:dyDescent="0.25">
      <c r="A25" s="282" t="s">
        <v>269</v>
      </c>
      <c r="B25" s="283"/>
      <c r="C25" s="283"/>
      <c r="D25" s="283"/>
      <c r="E25" s="283"/>
      <c r="F25" s="281">
        <v>6</v>
      </c>
    </row>
    <row r="26" spans="1:8" x14ac:dyDescent="0.25">
      <c r="A26" s="282" t="s">
        <v>270</v>
      </c>
      <c r="B26" s="283"/>
      <c r="C26" s="283"/>
      <c r="D26" s="283"/>
      <c r="E26" s="283"/>
      <c r="F26" s="281">
        <v>7</v>
      </c>
    </row>
    <row r="27" spans="1:8" x14ac:dyDescent="0.25">
      <c r="A27" s="282" t="s">
        <v>271</v>
      </c>
      <c r="B27" s="283"/>
      <c r="C27" s="283"/>
      <c r="D27" s="283"/>
      <c r="E27" s="283"/>
      <c r="F27" s="364">
        <f>F24/F25</f>
        <v>3</v>
      </c>
    </row>
    <row r="28" spans="1:8" x14ac:dyDescent="0.25">
      <c r="A28" s="282" t="s">
        <v>272</v>
      </c>
      <c r="B28" s="283"/>
      <c r="C28" s="283"/>
      <c r="D28" s="283"/>
      <c r="E28" s="283"/>
      <c r="F28" s="281">
        <v>30</v>
      </c>
    </row>
    <row r="29" spans="1:8" x14ac:dyDescent="0.25">
      <c r="A29" s="284" t="s">
        <v>273</v>
      </c>
      <c r="B29" s="285"/>
      <c r="C29" s="285"/>
      <c r="D29" s="285"/>
      <c r="E29" s="285"/>
      <c r="F29" s="363">
        <f>F27*F28</f>
        <v>90</v>
      </c>
    </row>
    <row r="30" spans="1:8" x14ac:dyDescent="0.25">
      <c r="A30" s="284" t="s">
        <v>327</v>
      </c>
      <c r="B30" s="285"/>
      <c r="C30" s="285"/>
      <c r="D30" s="285"/>
      <c r="E30" s="285"/>
      <c r="F30" s="363">
        <v>220</v>
      </c>
    </row>
    <row r="31" spans="1:8" x14ac:dyDescent="0.25">
      <c r="A31" s="284" t="s">
        <v>328</v>
      </c>
      <c r="B31" s="285"/>
      <c r="C31" s="285"/>
      <c r="D31" s="285"/>
      <c r="E31" s="285"/>
      <c r="F31" s="313">
        <f>F29/F30</f>
        <v>0.40909090909090912</v>
      </c>
    </row>
    <row r="33" spans="1:8" x14ac:dyDescent="0.25">
      <c r="A33" s="276" t="s">
        <v>279</v>
      </c>
    </row>
    <row r="34" spans="1:8" x14ac:dyDescent="0.25">
      <c r="A34" s="276" t="s">
        <v>409</v>
      </c>
    </row>
    <row r="35" spans="1:8" x14ac:dyDescent="0.25">
      <c r="A35" s="278" t="s">
        <v>261</v>
      </c>
      <c r="B35" s="278" t="s">
        <v>262</v>
      </c>
      <c r="C35" s="278" t="s">
        <v>277</v>
      </c>
      <c r="D35" s="278" t="s">
        <v>263</v>
      </c>
      <c r="E35" s="278" t="s">
        <v>264</v>
      </c>
      <c r="F35" s="278" t="s">
        <v>265</v>
      </c>
    </row>
    <row r="36" spans="1:8" x14ac:dyDescent="0.25">
      <c r="A36" s="279">
        <v>3</v>
      </c>
      <c r="B36" s="278" t="s">
        <v>266</v>
      </c>
      <c r="C36" s="278" t="s">
        <v>408</v>
      </c>
      <c r="D36" s="280">
        <v>0.3125</v>
      </c>
      <c r="E36" s="280">
        <v>0.58333333333333337</v>
      </c>
      <c r="F36" s="280">
        <v>0.22916666666666666</v>
      </c>
    </row>
    <row r="37" spans="1:8" x14ac:dyDescent="0.25">
      <c r="A37" s="279"/>
      <c r="B37" s="278"/>
      <c r="C37" s="278"/>
      <c r="D37" s="280"/>
      <c r="E37" s="280"/>
      <c r="F37" s="280"/>
      <c r="H37" s="290"/>
    </row>
    <row r="38" spans="1:8" x14ac:dyDescent="0.25">
      <c r="A38" s="279">
        <v>1</v>
      </c>
      <c r="B38" s="278" t="s">
        <v>41</v>
      </c>
      <c r="C38" s="278" t="s">
        <v>408</v>
      </c>
      <c r="D38" s="280">
        <v>0.25</v>
      </c>
      <c r="E38" s="280">
        <v>0.66666666666666663</v>
      </c>
      <c r="F38" s="280">
        <v>0.375</v>
      </c>
    </row>
    <row r="39" spans="1:8" x14ac:dyDescent="0.25">
      <c r="A39" s="276" t="s">
        <v>402</v>
      </c>
    </row>
    <row r="40" spans="1:8" x14ac:dyDescent="0.25">
      <c r="A40" s="276"/>
    </row>
    <row r="41" spans="1:8" x14ac:dyDescent="0.25">
      <c r="A41" s="276" t="s">
        <v>281</v>
      </c>
    </row>
    <row r="42" spans="1:8" x14ac:dyDescent="0.25">
      <c r="A42" s="282" t="s">
        <v>267</v>
      </c>
      <c r="B42" s="283"/>
      <c r="C42" s="283"/>
      <c r="D42" s="283"/>
      <c r="E42" s="283"/>
      <c r="F42" s="281">
        <v>5.5</v>
      </c>
    </row>
    <row r="43" spans="1:8" x14ac:dyDescent="0.25">
      <c r="A43" s="298" t="s">
        <v>287</v>
      </c>
      <c r="B43" s="283"/>
      <c r="C43" s="283"/>
      <c r="D43" s="283"/>
      <c r="E43" s="283"/>
      <c r="F43" s="281">
        <v>1</v>
      </c>
    </row>
    <row r="44" spans="1:8" x14ac:dyDescent="0.25">
      <c r="A44" s="282" t="s">
        <v>268</v>
      </c>
      <c r="B44" s="283"/>
      <c r="C44" s="283"/>
      <c r="D44" s="283"/>
      <c r="E44" s="283"/>
      <c r="F44" s="281">
        <f>F42*F43</f>
        <v>5.5</v>
      </c>
    </row>
    <row r="45" spans="1:8" x14ac:dyDescent="0.25">
      <c r="A45" s="282" t="s">
        <v>269</v>
      </c>
      <c r="B45" s="283"/>
      <c r="C45" s="283"/>
      <c r="D45" s="283"/>
      <c r="E45" s="283"/>
      <c r="F45" s="281">
        <v>6</v>
      </c>
    </row>
    <row r="46" spans="1:8" x14ac:dyDescent="0.25">
      <c r="A46" s="282" t="s">
        <v>270</v>
      </c>
      <c r="B46" s="283"/>
      <c r="C46" s="283"/>
      <c r="D46" s="283"/>
      <c r="E46" s="283"/>
      <c r="F46" s="281">
        <v>7</v>
      </c>
    </row>
    <row r="47" spans="1:8" x14ac:dyDescent="0.25">
      <c r="A47" s="282" t="s">
        <v>271</v>
      </c>
      <c r="B47" s="283"/>
      <c r="C47" s="283"/>
      <c r="D47" s="283"/>
      <c r="E47" s="283"/>
      <c r="F47" s="364">
        <f>F44/F45</f>
        <v>0.91666666666666663</v>
      </c>
    </row>
    <row r="48" spans="1:8" x14ac:dyDescent="0.25">
      <c r="A48" s="282" t="s">
        <v>272</v>
      </c>
      <c r="B48" s="283"/>
      <c r="C48" s="283"/>
      <c r="D48" s="283"/>
      <c r="E48" s="283"/>
      <c r="F48" s="281">
        <v>30</v>
      </c>
    </row>
    <row r="49" spans="1:6" x14ac:dyDescent="0.25">
      <c r="A49" s="284" t="s">
        <v>273</v>
      </c>
      <c r="B49" s="285"/>
      <c r="C49" s="285"/>
      <c r="D49" s="285"/>
      <c r="E49" s="285"/>
      <c r="F49" s="278">
        <f>F47*F48</f>
        <v>27.5</v>
      </c>
    </row>
    <row r="50" spans="1:6" x14ac:dyDescent="0.25">
      <c r="A50" s="284" t="s">
        <v>327</v>
      </c>
      <c r="B50" s="285"/>
      <c r="C50" s="285"/>
      <c r="D50" s="285"/>
      <c r="E50" s="285"/>
      <c r="F50" s="278">
        <v>220</v>
      </c>
    </row>
    <row r="51" spans="1:6" x14ac:dyDescent="0.25">
      <c r="A51" s="284" t="s">
        <v>328</v>
      </c>
      <c r="B51" s="285"/>
      <c r="C51" s="285"/>
      <c r="D51" s="285"/>
      <c r="E51" s="285"/>
      <c r="F51" s="313">
        <f>F49/F50</f>
        <v>0.125</v>
      </c>
    </row>
    <row r="53" spans="1:6" x14ac:dyDescent="0.25">
      <c r="A53" s="276" t="s">
        <v>274</v>
      </c>
    </row>
    <row r="54" spans="1:6" x14ac:dyDescent="0.25">
      <c r="A54" s="282" t="s">
        <v>275</v>
      </c>
      <c r="B54" s="283"/>
      <c r="C54" s="283"/>
      <c r="D54" s="283"/>
      <c r="E54" s="283"/>
      <c r="F54" s="281">
        <v>9</v>
      </c>
    </row>
    <row r="55" spans="1:6" x14ac:dyDescent="0.25">
      <c r="A55" s="298" t="s">
        <v>287</v>
      </c>
      <c r="B55" s="283"/>
      <c r="C55" s="283"/>
      <c r="D55" s="283"/>
      <c r="E55" s="283"/>
      <c r="F55" s="281">
        <v>1</v>
      </c>
    </row>
    <row r="56" spans="1:6" x14ac:dyDescent="0.25">
      <c r="A56" s="282" t="s">
        <v>268</v>
      </c>
      <c r="B56" s="283"/>
      <c r="C56" s="283"/>
      <c r="D56" s="283"/>
      <c r="E56" s="283"/>
      <c r="F56" s="281">
        <f>F54*F55</f>
        <v>9</v>
      </c>
    </row>
    <row r="57" spans="1:6" x14ac:dyDescent="0.25">
      <c r="A57" s="282" t="s">
        <v>269</v>
      </c>
      <c r="B57" s="283"/>
      <c r="C57" s="283"/>
      <c r="D57" s="283"/>
      <c r="E57" s="283"/>
      <c r="F57" s="281">
        <v>6</v>
      </c>
    </row>
    <row r="58" spans="1:6" x14ac:dyDescent="0.25">
      <c r="A58" s="282" t="s">
        <v>270</v>
      </c>
      <c r="B58" s="283"/>
      <c r="C58" s="283"/>
      <c r="D58" s="283"/>
      <c r="E58" s="283"/>
      <c r="F58" s="281">
        <v>7</v>
      </c>
    </row>
    <row r="59" spans="1:6" x14ac:dyDescent="0.25">
      <c r="A59" s="282" t="s">
        <v>271</v>
      </c>
      <c r="B59" s="283"/>
      <c r="C59" s="283"/>
      <c r="D59" s="283"/>
      <c r="E59" s="283"/>
      <c r="F59" s="364">
        <f>F56/F57</f>
        <v>1.5</v>
      </c>
    </row>
    <row r="60" spans="1:6" x14ac:dyDescent="0.25">
      <c r="A60" s="282" t="s">
        <v>272</v>
      </c>
      <c r="B60" s="283"/>
      <c r="C60" s="283"/>
      <c r="D60" s="283"/>
      <c r="E60" s="283"/>
      <c r="F60" s="281">
        <v>30</v>
      </c>
    </row>
    <row r="61" spans="1:6" x14ac:dyDescent="0.25">
      <c r="A61" s="284" t="s">
        <v>273</v>
      </c>
      <c r="B61" s="285"/>
      <c r="C61" s="285"/>
      <c r="D61" s="285"/>
      <c r="E61" s="285"/>
      <c r="F61" s="278">
        <f>F59*F60</f>
        <v>45</v>
      </c>
    </row>
    <row r="62" spans="1:6" x14ac:dyDescent="0.25">
      <c r="A62" s="284" t="s">
        <v>327</v>
      </c>
      <c r="B62" s="285"/>
      <c r="C62" s="285"/>
      <c r="D62" s="285"/>
      <c r="E62" s="285"/>
      <c r="F62" s="278">
        <v>220</v>
      </c>
    </row>
    <row r="63" spans="1:6" x14ac:dyDescent="0.25">
      <c r="A63" s="284" t="s">
        <v>328</v>
      </c>
      <c r="B63" s="285"/>
      <c r="C63" s="285"/>
      <c r="D63" s="285"/>
      <c r="E63" s="285"/>
      <c r="F63" s="313">
        <f>F61/F62</f>
        <v>0.20454545454545456</v>
      </c>
    </row>
    <row r="64" spans="1:6" x14ac:dyDescent="0.25">
      <c r="A64" s="337"/>
      <c r="B64" s="337"/>
      <c r="C64" s="337"/>
      <c r="D64" s="337"/>
      <c r="E64" s="337"/>
      <c r="F64" s="337"/>
    </row>
  </sheetData>
  <pageMargins left="0.51181102362204722" right="0.51181102362204722" top="0.78740157480314965" bottom="0.78740157480314965" header="0.31496062992125984" footer="0.31496062992125984"/>
  <pageSetup paperSize="9" scale="86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2" sqref="A12"/>
    </sheetView>
  </sheetViews>
  <sheetFormatPr defaultColWidth="8.85546875" defaultRowHeight="12.75" x14ac:dyDescent="0.2"/>
  <cols>
    <col min="1" max="1" width="32.7109375" style="318" customWidth="1"/>
    <col min="2" max="2" width="15.5703125" style="318" customWidth="1"/>
    <col min="3" max="3" width="14.28515625" style="318" bestFit="1" customWidth="1"/>
    <col min="4" max="5" width="10.42578125" style="318" bestFit="1" customWidth="1"/>
    <col min="6" max="16384" width="8.85546875" style="318"/>
  </cols>
  <sheetData>
    <row r="1" spans="1:7" x14ac:dyDescent="0.2">
      <c r="A1" s="317" t="s">
        <v>343</v>
      </c>
    </row>
    <row r="3" spans="1:7" x14ac:dyDescent="0.2">
      <c r="A3" s="319" t="s">
        <v>96</v>
      </c>
      <c r="B3" s="320"/>
      <c r="C3" s="320" t="s">
        <v>344</v>
      </c>
      <c r="D3" s="320" t="s">
        <v>345</v>
      </c>
    </row>
    <row r="4" spans="1:7" x14ac:dyDescent="0.2">
      <c r="A4" s="321" t="s">
        <v>346</v>
      </c>
      <c r="B4" s="296">
        <v>1676.6</v>
      </c>
      <c r="C4" s="321">
        <v>1.0388999999999999</v>
      </c>
      <c r="D4" s="322">
        <f>B4*C4</f>
        <v>1741.8197399999997</v>
      </c>
    </row>
    <row r="6" spans="1:7" x14ac:dyDescent="0.2">
      <c r="A6" s="323" t="str">
        <f>'[1]1. Coleta Domiciliar'!A102</f>
        <v xml:space="preserve">1.6. Auxílio Refeição/Alimentação </v>
      </c>
      <c r="B6" s="320"/>
      <c r="C6" s="320"/>
      <c r="D6" s="320"/>
    </row>
    <row r="7" spans="1:7" x14ac:dyDescent="0.2">
      <c r="A7" s="323" t="s">
        <v>347</v>
      </c>
      <c r="B7" s="324" t="s">
        <v>286</v>
      </c>
      <c r="C7" s="324" t="s">
        <v>348</v>
      </c>
      <c r="D7" s="324" t="s">
        <v>349</v>
      </c>
    </row>
    <row r="8" spans="1:7" x14ac:dyDescent="0.2">
      <c r="A8" s="321" t="s">
        <v>266</v>
      </c>
      <c r="B8" s="296">
        <v>16.73</v>
      </c>
      <c r="C8" s="321">
        <v>0.19</v>
      </c>
      <c r="D8" s="322">
        <f>B8-(B8*C8)</f>
        <v>13.551300000000001</v>
      </c>
    </row>
    <row r="9" spans="1:7" x14ac:dyDescent="0.2">
      <c r="A9" s="321" t="s">
        <v>350</v>
      </c>
      <c r="B9" s="296">
        <v>11.14</v>
      </c>
      <c r="C9" s="321">
        <v>0.2</v>
      </c>
      <c r="D9" s="322">
        <f t="shared" ref="D9:D10" si="0">B9-(B9*C9)</f>
        <v>8.9120000000000008</v>
      </c>
    </row>
    <row r="10" spans="1:7" x14ac:dyDescent="0.2">
      <c r="A10" s="321" t="s">
        <v>351</v>
      </c>
      <c r="B10" s="296">
        <v>74.47</v>
      </c>
      <c r="C10" s="321">
        <v>0.2</v>
      </c>
      <c r="D10" s="322">
        <f t="shared" si="0"/>
        <v>59.576000000000001</v>
      </c>
    </row>
    <row r="11" spans="1:7" x14ac:dyDescent="0.2">
      <c r="A11" s="325" t="s">
        <v>352</v>
      </c>
    </row>
    <row r="13" spans="1:7" x14ac:dyDescent="0.2">
      <c r="G13" s="327"/>
    </row>
    <row r="14" spans="1:7" x14ac:dyDescent="0.2">
      <c r="G14" s="327"/>
    </row>
    <row r="15" spans="1:7" x14ac:dyDescent="0.2">
      <c r="G15" s="327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4"/>
  <sheetViews>
    <sheetView zoomScaleSheetLayoutView="100" workbookViewId="0"/>
  </sheetViews>
  <sheetFormatPr defaultColWidth="9.140625" defaultRowHeight="12.75" x14ac:dyDescent="0.2"/>
  <cols>
    <col min="1" max="1" width="47.28515625" style="9" customWidth="1"/>
    <col min="2" max="2" width="16" style="9" bestFit="1" customWidth="1"/>
    <col min="3" max="3" width="13" style="9" customWidth="1"/>
    <col min="4" max="4" width="14.7109375" style="10" customWidth="1"/>
    <col min="5" max="5" width="15.42578125" style="10" customWidth="1"/>
    <col min="6" max="6" width="14.7109375" style="10" customWidth="1"/>
    <col min="7" max="16384" width="9.140625" style="9"/>
  </cols>
  <sheetData>
    <row r="1" spans="1:6" x14ac:dyDescent="0.2">
      <c r="A1" s="11" t="s">
        <v>200</v>
      </c>
    </row>
    <row r="2" spans="1:6" x14ac:dyDescent="0.2">
      <c r="A2" s="130" t="s">
        <v>232</v>
      </c>
    </row>
    <row r="3" spans="1:6" s="4" customFormat="1" ht="15.6" customHeight="1" x14ac:dyDescent="0.2">
      <c r="A3" s="9" t="s">
        <v>201</v>
      </c>
      <c r="C3" s="129"/>
      <c r="D3" s="129"/>
      <c r="E3" s="129"/>
      <c r="F3" s="129"/>
    </row>
    <row r="4" spans="1:6" s="4" customFormat="1" ht="15.6" customHeight="1" x14ac:dyDescent="0.2">
      <c r="A4" s="130" t="s">
        <v>202</v>
      </c>
      <c r="B4" s="129"/>
      <c r="C4" s="129"/>
      <c r="D4" s="129"/>
      <c r="E4" s="129"/>
      <c r="F4" s="129"/>
    </row>
    <row r="5" spans="1:6" s="4" customFormat="1" ht="16.5" customHeight="1" thickBot="1" x14ac:dyDescent="0.25">
      <c r="A5" s="11" t="s">
        <v>382</v>
      </c>
      <c r="B5" s="5"/>
      <c r="C5" s="5"/>
      <c r="D5" s="6"/>
      <c r="E5" s="6"/>
      <c r="F5" s="6"/>
    </row>
    <row r="6" spans="1:6" s="8" customFormat="1" ht="18" x14ac:dyDescent="0.2">
      <c r="A6" s="389" t="s">
        <v>282</v>
      </c>
      <c r="B6" s="390"/>
      <c r="C6" s="390"/>
      <c r="D6" s="390"/>
      <c r="E6" s="390"/>
      <c r="F6" s="391"/>
    </row>
    <row r="7" spans="1:6" s="8" customFormat="1" ht="21.75" customHeight="1" x14ac:dyDescent="0.2">
      <c r="A7" s="392" t="s">
        <v>40</v>
      </c>
      <c r="B7" s="393"/>
      <c r="C7" s="393"/>
      <c r="D7" s="393"/>
      <c r="E7" s="393"/>
      <c r="F7" s="394"/>
    </row>
    <row r="8" spans="1:6" s="4" customFormat="1" ht="10.9" customHeight="1" thickBot="1" x14ac:dyDescent="0.25">
      <c r="A8" s="141"/>
      <c r="B8" s="142"/>
      <c r="C8" s="142"/>
      <c r="D8" s="143"/>
      <c r="E8" s="143"/>
      <c r="F8" s="144"/>
    </row>
    <row r="9" spans="1:6" s="4" customFormat="1" ht="15.75" customHeight="1" thickBot="1" x14ac:dyDescent="0.25">
      <c r="A9" s="398" t="s">
        <v>199</v>
      </c>
      <c r="B9" s="399"/>
      <c r="C9" s="399"/>
      <c r="D9" s="399"/>
      <c r="E9" s="399"/>
      <c r="F9" s="400"/>
    </row>
    <row r="10" spans="1:6" s="4" customFormat="1" ht="15.75" customHeight="1" x14ac:dyDescent="0.2">
      <c r="A10" s="61" t="s">
        <v>198</v>
      </c>
      <c r="B10" s="40"/>
      <c r="C10" s="40"/>
      <c r="D10" s="250"/>
      <c r="E10" s="107" t="s">
        <v>35</v>
      </c>
      <c r="F10" s="41" t="s">
        <v>1</v>
      </c>
    </row>
    <row r="11" spans="1:6" s="11" customFormat="1" ht="15.75" customHeight="1" x14ac:dyDescent="0.2">
      <c r="A11" s="117" t="str">
        <f>A51</f>
        <v>1. Mão-de-obra</v>
      </c>
      <c r="B11" s="118"/>
      <c r="C11" s="119"/>
      <c r="D11" s="119"/>
      <c r="E11" s="247">
        <f>+F147</f>
        <v>2153.15590979021</v>
      </c>
      <c r="F11" s="120">
        <f t="shared" ref="F11:F33" si="0">IFERROR(E11/$E$34,0)</f>
        <v>0.30797418215445227</v>
      </c>
    </row>
    <row r="12" spans="1:6" s="4" customFormat="1" ht="15.75" customHeight="1" x14ac:dyDescent="0.2">
      <c r="A12" s="49" t="str">
        <f>A52</f>
        <v>1.1. Coletor Turno Dia</v>
      </c>
      <c r="B12" s="45"/>
      <c r="C12" s="47"/>
      <c r="D12" s="47"/>
      <c r="E12" s="248">
        <f>F61</f>
        <v>1174.0107225000002</v>
      </c>
      <c r="F12" s="55">
        <f t="shared" si="0"/>
        <v>0.1679232750673052</v>
      </c>
    </row>
    <row r="13" spans="1:6" s="4" customFormat="1" ht="15.75" hidden="1" customHeight="1" x14ac:dyDescent="0.2">
      <c r="A13" s="49" t="str">
        <f>A63</f>
        <v>1.2. Coletor Turno Noite</v>
      </c>
      <c r="B13" s="45"/>
      <c r="C13" s="47"/>
      <c r="D13" s="47"/>
      <c r="E13" s="248">
        <f>F74</f>
        <v>0</v>
      </c>
      <c r="F13" s="55">
        <f t="shared" si="0"/>
        <v>0</v>
      </c>
    </row>
    <row r="14" spans="1:6" s="4" customFormat="1" ht="15.75" customHeight="1" x14ac:dyDescent="0.2">
      <c r="A14" s="49" t="str">
        <f>A76</f>
        <v>1.3. Motorista Turno do Dia</v>
      </c>
      <c r="B14" s="45"/>
      <c r="C14" s="47"/>
      <c r="D14" s="47"/>
      <c r="E14" s="248">
        <f>F87</f>
        <v>694.74155931818188</v>
      </c>
      <c r="F14" s="55">
        <f t="shared" si="0"/>
        <v>9.9371560864151789E-2</v>
      </c>
    </row>
    <row r="15" spans="1:6" s="4" customFormat="1" ht="15.75" hidden="1" customHeight="1" x14ac:dyDescent="0.2">
      <c r="A15" s="49" t="str">
        <f>A90</f>
        <v>1.4. Motorista Turno da Noite</v>
      </c>
      <c r="B15" s="45"/>
      <c r="C15" s="47"/>
      <c r="D15" s="47"/>
      <c r="E15" s="248">
        <f>F103</f>
        <v>0</v>
      </c>
      <c r="F15" s="55">
        <f t="shared" si="0"/>
        <v>0</v>
      </c>
    </row>
    <row r="16" spans="1:6" s="4" customFormat="1" ht="15.75" hidden="1" customHeight="1" x14ac:dyDescent="0.2">
      <c r="A16" s="49" t="str">
        <f>A106</f>
        <v>1.5. Supervisor Administrativo (Encarregado)</v>
      </c>
      <c r="B16" s="45"/>
      <c r="C16" s="47"/>
      <c r="D16" s="47"/>
      <c r="E16" s="248">
        <f>F113</f>
        <v>0</v>
      </c>
      <c r="F16" s="55">
        <f t="shared" si="0"/>
        <v>0</v>
      </c>
    </row>
    <row r="17" spans="1:6" s="4" customFormat="1" ht="15.75" hidden="1" customHeight="1" x14ac:dyDescent="0.2">
      <c r="A17" s="49" t="str">
        <f>A116</f>
        <v xml:space="preserve">1.6. Técnico Segurança do Trabalho </v>
      </c>
      <c r="B17" s="45"/>
      <c r="C17" s="47"/>
      <c r="D17" s="47"/>
      <c r="E17" s="248">
        <f>F123</f>
        <v>0</v>
      </c>
      <c r="F17" s="55">
        <f t="shared" si="0"/>
        <v>0</v>
      </c>
    </row>
    <row r="18" spans="1:6" s="4" customFormat="1" ht="15.75" customHeight="1" x14ac:dyDescent="0.2">
      <c r="A18" s="49" t="str">
        <f>A126</f>
        <v>1.7. Vale Transporte</v>
      </c>
      <c r="B18" s="45"/>
      <c r="C18" s="47"/>
      <c r="D18" s="47"/>
      <c r="E18" s="248">
        <f>F132</f>
        <v>86.14002797202798</v>
      </c>
      <c r="F18" s="55">
        <f t="shared" si="0"/>
        <v>1.2320939949040556E-2</v>
      </c>
    </row>
    <row r="19" spans="1:6" s="4" customFormat="1" ht="15.75" customHeight="1" x14ac:dyDescent="0.2">
      <c r="A19" s="49" t="str">
        <f>A134</f>
        <v>1.8. Auxílio Refeição</v>
      </c>
      <c r="B19" s="45"/>
      <c r="C19" s="47"/>
      <c r="D19" s="47"/>
      <c r="E19" s="248">
        <f>F138</f>
        <v>198.26360000000003</v>
      </c>
      <c r="F19" s="55">
        <f t="shared" si="0"/>
        <v>2.8358406273954768E-2</v>
      </c>
    </row>
    <row r="20" spans="1:6" s="4" customFormat="1" ht="15.75" hidden="1" customHeight="1" x14ac:dyDescent="0.2">
      <c r="A20" s="49" t="str">
        <f>A141</f>
        <v>1.9. Auxílio Alimentação (mensal)</v>
      </c>
      <c r="B20" s="45"/>
      <c r="C20" s="47"/>
      <c r="D20" s="47"/>
      <c r="E20" s="248">
        <f>F145</f>
        <v>0</v>
      </c>
      <c r="F20" s="55">
        <f t="shared" si="0"/>
        <v>0</v>
      </c>
    </row>
    <row r="21" spans="1:6" s="11" customFormat="1" ht="15.75" customHeight="1" x14ac:dyDescent="0.2">
      <c r="A21" s="387" t="str">
        <f>A149</f>
        <v>2. Uniformes e Equipamentos de Proteção Individual</v>
      </c>
      <c r="B21" s="388"/>
      <c r="C21" s="388"/>
      <c r="D21" s="119"/>
      <c r="E21" s="247">
        <f>+F182</f>
        <v>109.965</v>
      </c>
      <c r="F21" s="120">
        <f t="shared" si="0"/>
        <v>1.5728717454517298E-2</v>
      </c>
    </row>
    <row r="22" spans="1:6" s="11" customFormat="1" ht="15.75" customHeight="1" x14ac:dyDescent="0.2">
      <c r="A22" s="314" t="str">
        <f>A184</f>
        <v>3. Veículos e Equipamentos</v>
      </c>
      <c r="B22" s="128"/>
      <c r="C22" s="119"/>
      <c r="D22" s="119"/>
      <c r="E22" s="247">
        <f>+F263</f>
        <v>3290.3076038640788</v>
      </c>
      <c r="F22" s="120">
        <f t="shared" si="0"/>
        <v>0.47062536843202762</v>
      </c>
    </row>
    <row r="23" spans="1:6" s="4" customFormat="1" ht="15.75" customHeight="1" x14ac:dyDescent="0.2">
      <c r="A23" s="62" t="str">
        <f>A186</f>
        <v>3.1. Veículo Coletor Compactador 15 m³</v>
      </c>
      <c r="B23" s="46"/>
      <c r="C23" s="47"/>
      <c r="D23" s="47"/>
      <c r="E23" s="248">
        <f>SUM(E24:E29)</f>
        <v>3290.3076038640788</v>
      </c>
      <c r="F23" s="134">
        <f t="shared" si="0"/>
        <v>0.47062536843202762</v>
      </c>
    </row>
    <row r="24" spans="1:6" s="4" customFormat="1" ht="15.75" customHeight="1" x14ac:dyDescent="0.2">
      <c r="A24" s="62" t="str">
        <f>A188</f>
        <v>3.1.1. Depreciação</v>
      </c>
      <c r="B24" s="46"/>
      <c r="C24" s="47"/>
      <c r="D24" s="47"/>
      <c r="E24" s="248">
        <f>F202</f>
        <v>413.44839562500005</v>
      </c>
      <c r="F24" s="134">
        <f t="shared" si="0"/>
        <v>5.9137116326186616E-2</v>
      </c>
    </row>
    <row r="25" spans="1:6" s="4" customFormat="1" ht="15.75" customHeight="1" x14ac:dyDescent="0.2">
      <c r="A25" s="62" t="str">
        <f>A204</f>
        <v>3.1.2. Remuneração do Capital</v>
      </c>
      <c r="B25" s="46"/>
      <c r="C25" s="47"/>
      <c r="D25" s="47"/>
      <c r="E25" s="248">
        <f>F218</f>
        <v>198.28551106406258</v>
      </c>
      <c r="F25" s="134">
        <f t="shared" si="0"/>
        <v>2.8361540297832982E-2</v>
      </c>
    </row>
    <row r="26" spans="1:6" s="4" customFormat="1" ht="15.75" customHeight="1" x14ac:dyDescent="0.2">
      <c r="A26" s="62" t="str">
        <f>A220</f>
        <v>3.1.3. Impostos e Seguros</v>
      </c>
      <c r="B26" s="46"/>
      <c r="C26" s="47"/>
      <c r="D26" s="47"/>
      <c r="E26" s="248">
        <f>F226</f>
        <v>81.921314175000006</v>
      </c>
      <c r="F26" s="134">
        <f t="shared" si="0"/>
        <v>1.1717521067260653E-2</v>
      </c>
    </row>
    <row r="27" spans="1:6" s="4" customFormat="1" ht="15.75" customHeight="1" x14ac:dyDescent="0.2">
      <c r="A27" s="62" t="str">
        <f>A228</f>
        <v>3.1.4. Consumos</v>
      </c>
      <c r="B27" s="46"/>
      <c r="C27" s="47"/>
      <c r="D27" s="47"/>
      <c r="E27" s="248">
        <f>F248</f>
        <v>1582.5833624163427</v>
      </c>
      <c r="F27" s="134">
        <f t="shared" si="0"/>
        <v>0.22636299327664805</v>
      </c>
    </row>
    <row r="28" spans="1:6" s="4" customFormat="1" ht="15.75" customHeight="1" x14ac:dyDescent="0.2">
      <c r="A28" s="62" t="str">
        <f>A250</f>
        <v>3.1.5. Manutenção</v>
      </c>
      <c r="B28" s="46"/>
      <c r="C28" s="47"/>
      <c r="D28" s="47"/>
      <c r="E28" s="248">
        <f>F253</f>
        <v>785.82462428571432</v>
      </c>
      <c r="F28" s="134">
        <f t="shared" si="0"/>
        <v>0.11239952243161198</v>
      </c>
    </row>
    <row r="29" spans="1:6" s="4" customFormat="1" ht="15.75" customHeight="1" x14ac:dyDescent="0.2">
      <c r="A29" s="62" t="str">
        <f>A254</f>
        <v>3.1.6. Pneus</v>
      </c>
      <c r="B29" s="46"/>
      <c r="C29" s="47"/>
      <c r="D29" s="47"/>
      <c r="E29" s="248">
        <f>F261</f>
        <v>228.24439629795918</v>
      </c>
      <c r="F29" s="134">
        <f t="shared" si="0"/>
        <v>3.2646675032487374E-2</v>
      </c>
    </row>
    <row r="30" spans="1:6" s="11" customFormat="1" ht="15.75" customHeight="1" x14ac:dyDescent="0.2">
      <c r="A30" s="314" t="str">
        <f>A265</f>
        <v>4. Ferramentas e Materiais de Consumo</v>
      </c>
      <c r="B30" s="128"/>
      <c r="C30" s="119"/>
      <c r="D30" s="119"/>
      <c r="E30" s="247">
        <f>+F276</f>
        <v>90.220166666666685</v>
      </c>
      <c r="F30" s="120">
        <f t="shared" si="0"/>
        <v>1.2904537900236074E-2</v>
      </c>
    </row>
    <row r="31" spans="1:6" s="11" customFormat="1" ht="15.75" hidden="1" customHeight="1" x14ac:dyDescent="0.2">
      <c r="A31" s="314" t="str">
        <f>A277</f>
        <v>5. Monitoramento da Frota</v>
      </c>
      <c r="B31" s="128"/>
      <c r="C31" s="119"/>
      <c r="D31" s="119"/>
      <c r="E31" s="247">
        <f>+F286</f>
        <v>0</v>
      </c>
      <c r="F31" s="120">
        <f t="shared" si="0"/>
        <v>0</v>
      </c>
    </row>
    <row r="32" spans="1:6" s="11" customFormat="1" ht="15.75" hidden="1" customHeight="1" x14ac:dyDescent="0.2">
      <c r="A32" s="314" t="str">
        <f>A288</f>
        <v xml:space="preserve">6. Administração Local/Veículo de Apoio </v>
      </c>
      <c r="B32" s="128"/>
      <c r="C32" s="119"/>
      <c r="D32" s="119"/>
      <c r="E32" s="332">
        <f>F294</f>
        <v>0</v>
      </c>
      <c r="F32" s="120">
        <f t="shared" si="0"/>
        <v>0</v>
      </c>
    </row>
    <row r="33" spans="1:6" s="11" customFormat="1" ht="15.75" customHeight="1" thickBot="1" x14ac:dyDescent="0.25">
      <c r="A33" s="314" t="str">
        <f>A298</f>
        <v>7. Benefícios e Despesas Indiretas - BDI</v>
      </c>
      <c r="B33" s="128"/>
      <c r="C33" s="119"/>
      <c r="D33" s="119"/>
      <c r="E33" s="249">
        <f>+F304</f>
        <v>1347.7033048606445</v>
      </c>
      <c r="F33" s="120">
        <f t="shared" si="0"/>
        <v>0.19276719405876655</v>
      </c>
    </row>
    <row r="34" spans="1:6" s="4" customFormat="1" ht="15.75" customHeight="1" thickBot="1" x14ac:dyDescent="0.25">
      <c r="A34" s="42" t="s">
        <v>237</v>
      </c>
      <c r="B34" s="43"/>
      <c r="C34" s="26"/>
      <c r="D34" s="26"/>
      <c r="E34" s="106">
        <f>E11+E21+E22+E30+E31+E33+E32</f>
        <v>6991.3519851816009</v>
      </c>
      <c r="F34" s="133">
        <f>F11+F21+F22+F30+F31+F33+F32</f>
        <v>0.99999999999999978</v>
      </c>
    </row>
    <row r="35" spans="1:6" ht="13.5" thickBot="1" x14ac:dyDescent="0.25"/>
    <row r="36" spans="1:6" s="4" customFormat="1" ht="15" customHeight="1" thickBot="1" x14ac:dyDescent="0.25">
      <c r="A36" s="398" t="s">
        <v>93</v>
      </c>
      <c r="B36" s="399"/>
      <c r="C36" s="399"/>
      <c r="D36" s="399"/>
      <c r="E36" s="400"/>
      <c r="F36" s="381"/>
    </row>
    <row r="37" spans="1:6" s="4" customFormat="1" ht="15" customHeight="1" thickBot="1" x14ac:dyDescent="0.3">
      <c r="A37" s="395" t="s">
        <v>36</v>
      </c>
      <c r="B37" s="396"/>
      <c r="C37" s="396"/>
      <c r="D37" s="397"/>
      <c r="E37" s="48" t="s">
        <v>37</v>
      </c>
      <c r="F37" s="382"/>
    </row>
    <row r="38" spans="1:6" s="4" customFormat="1" ht="15" customHeight="1" x14ac:dyDescent="0.2">
      <c r="A38" s="70" t="str">
        <f>+A52</f>
        <v>1.1. Coletor Turno Dia</v>
      </c>
      <c r="B38" s="71"/>
      <c r="C38" s="71"/>
      <c r="D38" s="72"/>
      <c r="E38" s="73">
        <f>C60</f>
        <v>3</v>
      </c>
      <c r="F38" s="381"/>
    </row>
    <row r="39" spans="1:6" s="4" customFormat="1" ht="15" hidden="1" customHeight="1" x14ac:dyDescent="0.2">
      <c r="A39" s="64" t="str">
        <f>+A63</f>
        <v>1.2. Coletor Turno Noite</v>
      </c>
      <c r="B39" s="63"/>
      <c r="C39" s="63"/>
      <c r="D39" s="74"/>
      <c r="E39" s="67">
        <f>C73</f>
        <v>0</v>
      </c>
      <c r="F39" s="10"/>
    </row>
    <row r="40" spans="1:6" s="4" customFormat="1" ht="15" customHeight="1" x14ac:dyDescent="0.2">
      <c r="A40" s="64" t="str">
        <f>+A76</f>
        <v>1.3. Motorista Turno do Dia</v>
      </c>
      <c r="B40" s="63"/>
      <c r="C40" s="63"/>
      <c r="D40" s="74"/>
      <c r="E40" s="67">
        <f>C86</f>
        <v>1</v>
      </c>
      <c r="F40" s="10"/>
    </row>
    <row r="41" spans="1:6" s="4" customFormat="1" ht="15" hidden="1" customHeight="1" x14ac:dyDescent="0.2">
      <c r="A41" s="64" t="str">
        <f>A90</f>
        <v>1.4. Motorista Turno da Noite</v>
      </c>
      <c r="B41" s="63"/>
      <c r="C41" s="63"/>
      <c r="D41" s="74"/>
      <c r="E41" s="67">
        <f>C102</f>
        <v>0</v>
      </c>
      <c r="F41" s="10"/>
    </row>
    <row r="42" spans="1:6" s="4" customFormat="1" ht="15" hidden="1" customHeight="1" x14ac:dyDescent="0.2">
      <c r="A42" s="64" t="str">
        <f>+A106</f>
        <v>1.5. Supervisor Administrativo (Encarregado)</v>
      </c>
      <c r="B42" s="63"/>
      <c r="C42" s="63"/>
      <c r="D42" s="74"/>
      <c r="E42" s="67">
        <f>C112</f>
        <v>0</v>
      </c>
      <c r="F42" s="10"/>
    </row>
    <row r="43" spans="1:6" s="4" customFormat="1" ht="15" customHeight="1" thickBot="1" x14ac:dyDescent="0.25">
      <c r="A43" s="68" t="s">
        <v>56</v>
      </c>
      <c r="B43" s="69"/>
      <c r="C43" s="69"/>
      <c r="D43" s="75"/>
      <c r="E43" s="76">
        <f>SUM(E38:E42)</f>
        <v>4</v>
      </c>
      <c r="F43" s="10"/>
    </row>
    <row r="44" spans="1:6" s="4" customFormat="1" ht="15" customHeight="1" thickBot="1" x14ac:dyDescent="0.25">
      <c r="A44" s="121"/>
      <c r="B44" s="122"/>
      <c r="C44" s="56"/>
      <c r="D44" s="56"/>
      <c r="E44" s="123"/>
      <c r="F44" s="10"/>
    </row>
    <row r="45" spans="1:6" s="4" customFormat="1" ht="15" customHeight="1" x14ac:dyDescent="0.2">
      <c r="A45" s="385" t="s">
        <v>53</v>
      </c>
      <c r="B45" s="386"/>
      <c r="C45" s="386"/>
      <c r="D45" s="386"/>
      <c r="E45" s="48" t="s">
        <v>37</v>
      </c>
      <c r="F45" s="9"/>
    </row>
    <row r="46" spans="1:6" s="4" customFormat="1" ht="15" customHeight="1" thickBot="1" x14ac:dyDescent="0.25">
      <c r="A46" s="124" t="str">
        <f>+A186</f>
        <v>3.1. Veículo Coletor Compactador 15 m³</v>
      </c>
      <c r="B46" s="125"/>
      <c r="C46" s="125"/>
      <c r="D46" s="126"/>
      <c r="E46" s="289">
        <f>C201</f>
        <v>1.1000000000000001</v>
      </c>
      <c r="F46" s="9"/>
    </row>
    <row r="47" spans="1:6" s="4" customFormat="1" ht="15" customHeight="1" x14ac:dyDescent="0.2">
      <c r="A47" s="56"/>
      <c r="B47" s="56"/>
      <c r="C47" s="56"/>
      <c r="D47" s="53"/>
      <c r="E47" s="240"/>
      <c r="F47" s="9"/>
    </row>
    <row r="48" spans="1:6" s="4" customFormat="1" ht="13.5" thickBot="1" x14ac:dyDescent="0.25">
      <c r="A48" s="56"/>
      <c r="B48" s="56"/>
      <c r="C48" s="56"/>
      <c r="D48" s="53"/>
      <c r="E48" s="65"/>
      <c r="F48" s="9"/>
    </row>
    <row r="49" spans="1:6" s="11" customFormat="1" ht="15.75" customHeight="1" thickBot="1" x14ac:dyDescent="0.25">
      <c r="A49" s="251" t="s">
        <v>193</v>
      </c>
      <c r="B49" s="286">
        <f>27.5/220</f>
        <v>0.125</v>
      </c>
      <c r="C49" s="35"/>
      <c r="D49" s="34"/>
      <c r="E49" s="146"/>
    </row>
    <row r="50" spans="1:6" s="4" customFormat="1" ht="15.75" customHeight="1" x14ac:dyDescent="0.2">
      <c r="A50" s="56"/>
      <c r="B50" s="56"/>
      <c r="C50" s="56"/>
      <c r="D50" s="53"/>
      <c r="E50" s="65"/>
      <c r="F50" s="9"/>
    </row>
    <row r="51" spans="1:6" ht="13.15" customHeight="1" x14ac:dyDescent="0.2">
      <c r="A51" s="11" t="s">
        <v>44</v>
      </c>
    </row>
    <row r="52" spans="1:6" ht="13.9" customHeight="1" thickBot="1" x14ac:dyDescent="0.25">
      <c r="A52" s="9" t="s">
        <v>95</v>
      </c>
    </row>
    <row r="53" spans="1:6" ht="13.9" customHeight="1" thickBot="1" x14ac:dyDescent="0.25">
      <c r="A53" s="57" t="s">
        <v>61</v>
      </c>
      <c r="B53" s="58" t="s">
        <v>62</v>
      </c>
      <c r="C53" s="58" t="s">
        <v>37</v>
      </c>
      <c r="D53" s="59" t="s">
        <v>234</v>
      </c>
      <c r="E53" s="59" t="s">
        <v>63</v>
      </c>
      <c r="F53" s="60" t="s">
        <v>64</v>
      </c>
    </row>
    <row r="54" spans="1:6" ht="13.15" customHeight="1" x14ac:dyDescent="0.2">
      <c r="A54" s="13" t="s">
        <v>215</v>
      </c>
      <c r="B54" s="14" t="s">
        <v>7</v>
      </c>
      <c r="C54" s="14">
        <v>1</v>
      </c>
      <c r="D54" s="83">
        <v>1278.2</v>
      </c>
      <c r="E54" s="15">
        <f>C54*D54</f>
        <v>1278.2</v>
      </c>
    </row>
    <row r="55" spans="1:6" ht="13.15" hidden="1" customHeight="1" x14ac:dyDescent="0.2">
      <c r="A55" s="287" t="s">
        <v>326</v>
      </c>
      <c r="B55" s="288" t="s">
        <v>325</v>
      </c>
      <c r="C55" s="17">
        <v>0</v>
      </c>
      <c r="D55" s="80">
        <f>D54/220*2</f>
        <v>11.620000000000001</v>
      </c>
      <c r="E55" s="312">
        <f>C55*D55</f>
        <v>0</v>
      </c>
    </row>
    <row r="56" spans="1:6" x14ac:dyDescent="0.2">
      <c r="A56" s="16" t="s">
        <v>0</v>
      </c>
      <c r="B56" s="17" t="s">
        <v>1</v>
      </c>
      <c r="C56" s="17">
        <v>40</v>
      </c>
      <c r="D56" s="80">
        <f>SUM(E54:E55)</f>
        <v>1278.2</v>
      </c>
      <c r="E56" s="18">
        <f>C56*D56/100</f>
        <v>511.28</v>
      </c>
    </row>
    <row r="57" spans="1:6" x14ac:dyDescent="0.2">
      <c r="A57" s="108" t="s">
        <v>2</v>
      </c>
      <c r="B57" s="109"/>
      <c r="C57" s="109"/>
      <c r="D57" s="110"/>
      <c r="E57" s="111">
        <f>SUM(E54:E56)</f>
        <v>1789.48</v>
      </c>
    </row>
    <row r="58" spans="1:6" x14ac:dyDescent="0.2">
      <c r="A58" s="16" t="s">
        <v>3</v>
      </c>
      <c r="B58" s="17" t="s">
        <v>1</v>
      </c>
      <c r="C58" s="131">
        <f>'3.Encargos Sociais'!$C$34*100</f>
        <v>74.95</v>
      </c>
      <c r="D58" s="18">
        <f>E57</f>
        <v>1789.48</v>
      </c>
      <c r="E58" s="18">
        <f>D58*C58/100</f>
        <v>1341.2152600000002</v>
      </c>
    </row>
    <row r="59" spans="1:6" x14ac:dyDescent="0.2">
      <c r="A59" s="108" t="s">
        <v>70</v>
      </c>
      <c r="B59" s="109"/>
      <c r="C59" s="109"/>
      <c r="D59" s="110"/>
      <c r="E59" s="111">
        <f>E57+E58</f>
        <v>3130.6952600000004</v>
      </c>
    </row>
    <row r="60" spans="1:6" ht="13.5" thickBot="1" x14ac:dyDescent="0.25">
      <c r="A60" s="16" t="s">
        <v>4</v>
      </c>
      <c r="B60" s="17" t="s">
        <v>5</v>
      </c>
      <c r="C60" s="82">
        <v>3</v>
      </c>
      <c r="D60" s="18">
        <f>E59</f>
        <v>3130.6952600000004</v>
      </c>
      <c r="E60" s="18">
        <f>C60*D60</f>
        <v>9392.0857800000013</v>
      </c>
    </row>
    <row r="61" spans="1:6" ht="13.9" customHeight="1" thickBot="1" x14ac:dyDescent="0.25">
      <c r="D61" s="115" t="s">
        <v>192</v>
      </c>
      <c r="E61" s="367">
        <f>$B$49</f>
        <v>0.125</v>
      </c>
      <c r="F61" s="116">
        <f>E60*E61</f>
        <v>1174.0107225000002</v>
      </c>
    </row>
    <row r="62" spans="1:6" ht="11.25" customHeight="1" x14ac:dyDescent="0.2"/>
    <row r="63" spans="1:6" ht="13.5" hidden="1" thickBot="1" x14ac:dyDescent="0.25">
      <c r="A63" s="9" t="s">
        <v>87</v>
      </c>
    </row>
    <row r="64" spans="1:6" ht="13.5" hidden="1" thickBot="1" x14ac:dyDescent="0.25">
      <c r="A64" s="57" t="s">
        <v>61</v>
      </c>
      <c r="B64" s="58" t="s">
        <v>62</v>
      </c>
      <c r="C64" s="58" t="s">
        <v>37</v>
      </c>
      <c r="D64" s="59" t="s">
        <v>234</v>
      </c>
      <c r="E64" s="59" t="s">
        <v>63</v>
      </c>
      <c r="F64" s="60" t="s">
        <v>64</v>
      </c>
    </row>
    <row r="65" spans="1:6" hidden="1" x14ac:dyDescent="0.2">
      <c r="A65" s="13" t="s">
        <v>215</v>
      </c>
      <c r="B65" s="14" t="s">
        <v>7</v>
      </c>
      <c r="C65" s="14">
        <v>1</v>
      </c>
      <c r="D65" s="15">
        <f>D54</f>
        <v>1278.2</v>
      </c>
      <c r="E65" s="15">
        <f>C65*D65</f>
        <v>1278.2</v>
      </c>
    </row>
    <row r="66" spans="1:6" hidden="1" x14ac:dyDescent="0.2">
      <c r="A66" s="16" t="s">
        <v>6</v>
      </c>
      <c r="B66" s="17" t="s">
        <v>94</v>
      </c>
      <c r="C66" s="84">
        <v>0</v>
      </c>
      <c r="D66" s="18"/>
      <c r="E66" s="18"/>
    </row>
    <row r="67" spans="1:6" hidden="1" x14ac:dyDescent="0.2">
      <c r="A67" s="16"/>
      <c r="B67" s="17" t="s">
        <v>97</v>
      </c>
      <c r="C67" s="112">
        <f>C66*8/7</f>
        <v>0</v>
      </c>
      <c r="D67" s="18">
        <f>D65/220*0.2</f>
        <v>1.1620000000000001</v>
      </c>
      <c r="E67" s="18">
        <f>C66*D67</f>
        <v>0</v>
      </c>
    </row>
    <row r="68" spans="1:6" hidden="1" x14ac:dyDescent="0.2">
      <c r="A68" s="287" t="s">
        <v>326</v>
      </c>
      <c r="B68" s="288" t="s">
        <v>325</v>
      </c>
      <c r="C68" s="17">
        <v>0</v>
      </c>
      <c r="D68" s="80">
        <f>D65/220*2</f>
        <v>11.620000000000001</v>
      </c>
      <c r="E68" s="312">
        <f>C68*D68</f>
        <v>0</v>
      </c>
    </row>
    <row r="69" spans="1:6" hidden="1" x14ac:dyDescent="0.2">
      <c r="A69" s="16" t="s">
        <v>0</v>
      </c>
      <c r="B69" s="17" t="s">
        <v>1</v>
      </c>
      <c r="C69" s="17">
        <f>+C56</f>
        <v>40</v>
      </c>
      <c r="D69" s="80">
        <f>SUM(E65:E68)</f>
        <v>1278.2</v>
      </c>
      <c r="E69" s="18">
        <f>C69*D69/100</f>
        <v>511.28</v>
      </c>
    </row>
    <row r="70" spans="1:6" hidden="1" x14ac:dyDescent="0.2">
      <c r="A70" s="108" t="s">
        <v>2</v>
      </c>
      <c r="B70" s="109"/>
      <c r="C70" s="109"/>
      <c r="D70" s="110"/>
      <c r="E70" s="111">
        <f>SUM(E65:E69)</f>
        <v>1789.48</v>
      </c>
    </row>
    <row r="71" spans="1:6" hidden="1" x14ac:dyDescent="0.2">
      <c r="A71" s="16" t="s">
        <v>3</v>
      </c>
      <c r="B71" s="17" t="s">
        <v>1</v>
      </c>
      <c r="C71" s="131">
        <f>'3.Encargos Sociais'!$C$34*100</f>
        <v>74.95</v>
      </c>
      <c r="D71" s="18">
        <f>E70</f>
        <v>1789.48</v>
      </c>
      <c r="E71" s="18">
        <f>D71*C71/100</f>
        <v>1341.2152600000002</v>
      </c>
    </row>
    <row r="72" spans="1:6" hidden="1" x14ac:dyDescent="0.2">
      <c r="A72" s="108" t="s">
        <v>70</v>
      </c>
      <c r="B72" s="109"/>
      <c r="C72" s="109"/>
      <c r="D72" s="110"/>
      <c r="E72" s="111">
        <f>E70+E71</f>
        <v>3130.6952600000004</v>
      </c>
    </row>
    <row r="73" spans="1:6" ht="13.5" hidden="1" thickBot="1" x14ac:dyDescent="0.25">
      <c r="A73" s="16" t="s">
        <v>4</v>
      </c>
      <c r="B73" s="17" t="s">
        <v>5</v>
      </c>
      <c r="C73" s="82">
        <v>0</v>
      </c>
      <c r="D73" s="18">
        <f>E72</f>
        <v>3130.6952600000004</v>
      </c>
      <c r="E73" s="18">
        <f>C73*D73</f>
        <v>0</v>
      </c>
    </row>
    <row r="74" spans="1:6" ht="13.5" hidden="1" thickBot="1" x14ac:dyDescent="0.25">
      <c r="D74" s="115" t="s">
        <v>192</v>
      </c>
      <c r="E74" s="333">
        <f>$B$49</f>
        <v>0.125</v>
      </c>
      <c r="F74" s="116">
        <f>E73*E74</f>
        <v>0</v>
      </c>
    </row>
    <row r="75" spans="1:6" ht="11.25" hidden="1" customHeight="1" x14ac:dyDescent="0.2"/>
    <row r="76" spans="1:6" ht="13.5" thickBot="1" x14ac:dyDescent="0.25">
      <c r="A76" s="9" t="s">
        <v>96</v>
      </c>
    </row>
    <row r="77" spans="1:6" s="12" customFormat="1" ht="13.15" customHeight="1" thickBot="1" x14ac:dyDescent="0.25">
      <c r="A77" s="57" t="s">
        <v>61</v>
      </c>
      <c r="B77" s="58" t="s">
        <v>62</v>
      </c>
      <c r="C77" s="58" t="s">
        <v>37</v>
      </c>
      <c r="D77" s="59" t="s">
        <v>234</v>
      </c>
      <c r="E77" s="59" t="s">
        <v>63</v>
      </c>
      <c r="F77" s="60" t="s">
        <v>64</v>
      </c>
    </row>
    <row r="78" spans="1:6" x14ac:dyDescent="0.2">
      <c r="A78" s="13" t="s">
        <v>217</v>
      </c>
      <c r="B78" s="14" t="s">
        <v>7</v>
      </c>
      <c r="C78" s="14">
        <v>1</v>
      </c>
      <c r="D78" s="83">
        <v>1741.82</v>
      </c>
      <c r="E78" s="15">
        <f>C78*D78</f>
        <v>1741.82</v>
      </c>
    </row>
    <row r="79" spans="1:6" x14ac:dyDescent="0.2">
      <c r="A79" s="13" t="s">
        <v>218</v>
      </c>
      <c r="B79" s="14" t="s">
        <v>7</v>
      </c>
      <c r="C79" s="14">
        <v>1</v>
      </c>
      <c r="D79" s="83">
        <v>998</v>
      </c>
      <c r="E79" s="15"/>
    </row>
    <row r="80" spans="1:6" x14ac:dyDescent="0.2">
      <c r="A80" s="16" t="s">
        <v>216</v>
      </c>
      <c r="B80" s="17"/>
      <c r="C80" s="82">
        <v>1</v>
      </c>
      <c r="D80" s="18"/>
      <c r="E80" s="18"/>
    </row>
    <row r="81" spans="1:6" x14ac:dyDescent="0.2">
      <c r="A81" s="16" t="s">
        <v>0</v>
      </c>
      <c r="B81" s="17" t="s">
        <v>1</v>
      </c>
      <c r="C81" s="82">
        <v>20</v>
      </c>
      <c r="D81" s="80">
        <f>IF(C80=2,SUM(E78:E79),IF(C80=1,(SUM(E78:E79))*D79/D78,0))</f>
        <v>998</v>
      </c>
      <c r="E81" s="18">
        <f>C81*D81/100</f>
        <v>199.6</v>
      </c>
    </row>
    <row r="82" spans="1:6" hidden="1" x14ac:dyDescent="0.2">
      <c r="A82" s="287" t="s">
        <v>326</v>
      </c>
      <c r="B82" s="288" t="s">
        <v>325</v>
      </c>
      <c r="C82" s="315"/>
      <c r="D82" s="80">
        <f>D78/220*2</f>
        <v>15.834727272727273</v>
      </c>
      <c r="E82" s="18">
        <f>C82*D82</f>
        <v>0</v>
      </c>
    </row>
    <row r="83" spans="1:6" s="11" customFormat="1" x14ac:dyDescent="0.2">
      <c r="A83" s="96" t="s">
        <v>2</v>
      </c>
      <c r="B83" s="109"/>
      <c r="C83" s="109"/>
      <c r="D83" s="110"/>
      <c r="E83" s="98">
        <f>SUM(E78:E82)</f>
        <v>1941.4199999999998</v>
      </c>
      <c r="F83" s="44"/>
    </row>
    <row r="84" spans="1:6" x14ac:dyDescent="0.2">
      <c r="A84" s="16" t="s">
        <v>3</v>
      </c>
      <c r="B84" s="17" t="s">
        <v>1</v>
      </c>
      <c r="C84" s="131">
        <f>'3.Encargos Sociais'!$C$34*100</f>
        <v>74.95</v>
      </c>
      <c r="D84" s="18">
        <f>E83</f>
        <v>1941.4199999999998</v>
      </c>
      <c r="E84" s="18">
        <f>D84*C84/100</f>
        <v>1455.09429</v>
      </c>
    </row>
    <row r="85" spans="1:6" s="11" customFormat="1" x14ac:dyDescent="0.2">
      <c r="A85" s="96" t="s">
        <v>248</v>
      </c>
      <c r="B85" s="257"/>
      <c r="C85" s="257"/>
      <c r="D85" s="258"/>
      <c r="E85" s="98">
        <f>E83+E84</f>
        <v>3396.5142900000001</v>
      </c>
      <c r="F85" s="44"/>
    </row>
    <row r="86" spans="1:6" ht="13.5" thickBot="1" x14ac:dyDescent="0.25">
      <c r="A86" s="16" t="s">
        <v>4</v>
      </c>
      <c r="B86" s="17" t="s">
        <v>5</v>
      </c>
      <c r="C86" s="82">
        <v>1</v>
      </c>
      <c r="D86" s="18">
        <f>E85</f>
        <v>3396.5142900000001</v>
      </c>
      <c r="E86" s="18">
        <f>C86*D86</f>
        <v>3396.5142900000001</v>
      </c>
    </row>
    <row r="87" spans="1:6" ht="13.5" thickBot="1" x14ac:dyDescent="0.25">
      <c r="A87" s="7" t="s">
        <v>336</v>
      </c>
      <c r="D87" s="115" t="s">
        <v>192</v>
      </c>
      <c r="E87" s="367">
        <f>45/220</f>
        <v>0.20454545454545456</v>
      </c>
      <c r="F87" s="116">
        <f>E86*E87</f>
        <v>694.74155931818188</v>
      </c>
    </row>
    <row r="88" spans="1:6" x14ac:dyDescent="0.2">
      <c r="A88" s="7" t="s">
        <v>337</v>
      </c>
      <c r="D88" s="115"/>
      <c r="E88" s="56"/>
    </row>
    <row r="89" spans="1:6" ht="13.15" customHeight="1" x14ac:dyDescent="0.2"/>
    <row r="90" spans="1:6" ht="13.15" hidden="1" customHeight="1" thickBot="1" x14ac:dyDescent="0.25">
      <c r="A90" s="7" t="s">
        <v>334</v>
      </c>
    </row>
    <row r="91" spans="1:6" ht="13.15" hidden="1" customHeight="1" thickBot="1" x14ac:dyDescent="0.25">
      <c r="A91" s="57" t="s">
        <v>61</v>
      </c>
      <c r="B91" s="58" t="s">
        <v>62</v>
      </c>
      <c r="C91" s="58" t="s">
        <v>37</v>
      </c>
      <c r="D91" s="59" t="s">
        <v>234</v>
      </c>
      <c r="E91" s="59" t="s">
        <v>63</v>
      </c>
      <c r="F91" s="60" t="s">
        <v>64</v>
      </c>
    </row>
    <row r="92" spans="1:6" ht="13.15" hidden="1" customHeight="1" x14ac:dyDescent="0.2">
      <c r="A92" s="13" t="s">
        <v>217</v>
      </c>
      <c r="B92" s="14" t="s">
        <v>7</v>
      </c>
      <c r="C92" s="14">
        <v>1</v>
      </c>
      <c r="D92" s="83">
        <f>D78</f>
        <v>1741.82</v>
      </c>
      <c r="E92" s="15">
        <f>C92*D92</f>
        <v>1741.82</v>
      </c>
    </row>
    <row r="93" spans="1:6" ht="13.15" hidden="1" customHeight="1" x14ac:dyDescent="0.2">
      <c r="A93" s="13" t="s">
        <v>218</v>
      </c>
      <c r="B93" s="14" t="s">
        <v>7</v>
      </c>
      <c r="C93" s="14">
        <v>1</v>
      </c>
      <c r="D93" s="83">
        <v>998</v>
      </c>
      <c r="E93" s="15"/>
    </row>
    <row r="94" spans="1:6" ht="13.15" hidden="1" customHeight="1" x14ac:dyDescent="0.2">
      <c r="A94" s="16" t="s">
        <v>216</v>
      </c>
      <c r="B94" s="17"/>
      <c r="C94" s="82">
        <v>1</v>
      </c>
      <c r="D94" s="18"/>
      <c r="E94" s="18"/>
    </row>
    <row r="95" spans="1:6" ht="13.15" hidden="1" customHeight="1" x14ac:dyDescent="0.2">
      <c r="A95" s="16" t="s">
        <v>0</v>
      </c>
      <c r="B95" s="17" t="s">
        <v>1</v>
      </c>
      <c r="C95" s="82">
        <v>20</v>
      </c>
      <c r="D95" s="80">
        <f>IF(C94=2,SUM(E92:E93),IF(C94=1,(SUM(E92:E93))*D93/D92,0))</f>
        <v>998</v>
      </c>
      <c r="E95" s="18">
        <f>C95*D95/100</f>
        <v>199.6</v>
      </c>
    </row>
    <row r="96" spans="1:6" ht="13.15" hidden="1" customHeight="1" x14ac:dyDescent="0.2">
      <c r="A96" s="16" t="s">
        <v>6</v>
      </c>
      <c r="B96" s="17" t="s">
        <v>94</v>
      </c>
      <c r="C96" s="84">
        <f>2*26</f>
        <v>52</v>
      </c>
      <c r="D96" s="18"/>
      <c r="E96" s="18"/>
    </row>
    <row r="97" spans="1:8" ht="13.15" hidden="1" customHeight="1" x14ac:dyDescent="0.2">
      <c r="A97" s="16"/>
      <c r="B97" s="17" t="s">
        <v>97</v>
      </c>
      <c r="C97" s="112">
        <f>C96*8/7</f>
        <v>59.428571428571431</v>
      </c>
      <c r="D97" s="18">
        <f>D92/220*0.2</f>
        <v>1.5834727272727274</v>
      </c>
      <c r="E97" s="18">
        <f>C96*D97</f>
        <v>82.340581818181818</v>
      </c>
    </row>
    <row r="98" spans="1:8" ht="13.15" hidden="1" customHeight="1" x14ac:dyDescent="0.2">
      <c r="A98" s="287" t="s">
        <v>326</v>
      </c>
      <c r="B98" s="288" t="s">
        <v>325</v>
      </c>
      <c r="C98" s="315"/>
      <c r="D98" s="80">
        <f>D92/220*2</f>
        <v>15.834727272727273</v>
      </c>
      <c r="E98" s="18">
        <f>C98*D98</f>
        <v>0</v>
      </c>
    </row>
    <row r="99" spans="1:8" ht="13.15" hidden="1" customHeight="1" x14ac:dyDescent="0.2">
      <c r="A99" s="96" t="s">
        <v>2</v>
      </c>
      <c r="B99" s="109"/>
      <c r="C99" s="109"/>
      <c r="D99" s="110"/>
      <c r="E99" s="98">
        <f>SUM(E92:E98)</f>
        <v>2023.7605818181817</v>
      </c>
      <c r="F99" s="44"/>
    </row>
    <row r="100" spans="1:8" ht="13.15" hidden="1" customHeight="1" x14ac:dyDescent="0.2">
      <c r="A100" s="16" t="s">
        <v>3</v>
      </c>
      <c r="B100" s="17" t="s">
        <v>1</v>
      </c>
      <c r="C100" s="131">
        <f>'3.Encargos Sociais'!$C$34*100</f>
        <v>74.95</v>
      </c>
      <c r="D100" s="18">
        <f>E99</f>
        <v>2023.7605818181817</v>
      </c>
      <c r="E100" s="18">
        <f>D100*C100/100</f>
        <v>1516.808556072727</v>
      </c>
    </row>
    <row r="101" spans="1:8" ht="13.15" hidden="1" customHeight="1" x14ac:dyDescent="0.2">
      <c r="A101" s="96" t="s">
        <v>248</v>
      </c>
      <c r="B101" s="257"/>
      <c r="C101" s="257"/>
      <c r="D101" s="258"/>
      <c r="E101" s="98">
        <f>E99+E100</f>
        <v>3540.5691378909087</v>
      </c>
      <c r="F101" s="44"/>
    </row>
    <row r="102" spans="1:8" ht="13.15" hidden="1" customHeight="1" thickBot="1" x14ac:dyDescent="0.25">
      <c r="A102" s="16" t="s">
        <v>4</v>
      </c>
      <c r="B102" s="17" t="s">
        <v>5</v>
      </c>
      <c r="C102" s="82">
        <v>0</v>
      </c>
      <c r="D102" s="18">
        <f>E101</f>
        <v>3540.5691378909087</v>
      </c>
      <c r="E102" s="18">
        <f>C102*D102</f>
        <v>0</v>
      </c>
    </row>
    <row r="103" spans="1:8" ht="13.15" hidden="1" customHeight="1" thickBot="1" x14ac:dyDescent="0.25">
      <c r="A103" s="7" t="s">
        <v>336</v>
      </c>
      <c r="D103" s="115" t="s">
        <v>192</v>
      </c>
      <c r="E103" s="333">
        <f>195/220</f>
        <v>0.88636363636363635</v>
      </c>
      <c r="F103" s="116">
        <f>E102*E103</f>
        <v>0</v>
      </c>
    </row>
    <row r="104" spans="1:8" ht="13.15" hidden="1" customHeight="1" x14ac:dyDescent="0.2">
      <c r="A104" s="7" t="s">
        <v>337</v>
      </c>
      <c r="D104" s="115"/>
      <c r="E104" s="56"/>
    </row>
    <row r="105" spans="1:8" ht="13.15" hidden="1" customHeight="1" x14ac:dyDescent="0.2"/>
    <row r="106" spans="1:8" ht="13.5" hidden="1" thickBot="1" x14ac:dyDescent="0.25">
      <c r="A106" s="7" t="s">
        <v>335</v>
      </c>
    </row>
    <row r="107" spans="1:8" ht="13.5" hidden="1" thickBot="1" x14ac:dyDescent="0.25">
      <c r="A107" s="57" t="s">
        <v>61</v>
      </c>
      <c r="B107" s="58" t="s">
        <v>62</v>
      </c>
      <c r="C107" s="58" t="s">
        <v>37</v>
      </c>
      <c r="D107" s="59" t="s">
        <v>234</v>
      </c>
      <c r="E107" s="59" t="s">
        <v>63</v>
      </c>
      <c r="F107" s="60" t="s">
        <v>64</v>
      </c>
    </row>
    <row r="108" spans="1:8" hidden="1" x14ac:dyDescent="0.2">
      <c r="A108" s="13" t="s">
        <v>215</v>
      </c>
      <c r="B108" s="14" t="s">
        <v>7</v>
      </c>
      <c r="C108" s="14">
        <v>1</v>
      </c>
      <c r="D108" s="15">
        <v>3088</v>
      </c>
      <c r="E108" s="15">
        <f>C108*D108</f>
        <v>3088</v>
      </c>
      <c r="H108" s="7"/>
    </row>
    <row r="109" spans="1:8" s="11" customFormat="1" hidden="1" x14ac:dyDescent="0.2">
      <c r="A109" s="108" t="s">
        <v>2</v>
      </c>
      <c r="B109" s="109"/>
      <c r="C109" s="109"/>
      <c r="D109" s="110"/>
      <c r="E109" s="111">
        <f>SUM(E108:E108)</f>
        <v>3088</v>
      </c>
      <c r="F109" s="44"/>
    </row>
    <row r="110" spans="1:8" hidden="1" x14ac:dyDescent="0.2">
      <c r="A110" s="16" t="s">
        <v>3</v>
      </c>
      <c r="B110" s="17" t="s">
        <v>1</v>
      </c>
      <c r="C110" s="131">
        <f>'3.Encargos Sociais'!$C$34*100</f>
        <v>74.95</v>
      </c>
      <c r="D110" s="18">
        <f>E109</f>
        <v>3088</v>
      </c>
      <c r="E110" s="18">
        <f>D110*C110/100</f>
        <v>2314.4560000000001</v>
      </c>
    </row>
    <row r="111" spans="1:8" s="11" customFormat="1" hidden="1" x14ac:dyDescent="0.2">
      <c r="A111" s="108" t="s">
        <v>284</v>
      </c>
      <c r="B111" s="109"/>
      <c r="C111" s="109"/>
      <c r="D111" s="110"/>
      <c r="E111" s="111">
        <f>E109+E110</f>
        <v>5402.4560000000001</v>
      </c>
      <c r="F111" s="44"/>
    </row>
    <row r="112" spans="1:8" ht="13.5" hidden="1" thickBot="1" x14ac:dyDescent="0.25">
      <c r="A112" s="16" t="s">
        <v>4</v>
      </c>
      <c r="B112" s="17" t="s">
        <v>5</v>
      </c>
      <c r="C112" s="82">
        <v>0</v>
      </c>
      <c r="D112" s="18">
        <f>E111</f>
        <v>5402.4560000000001</v>
      </c>
      <c r="E112" s="18">
        <f>C112*D112</f>
        <v>0</v>
      </c>
    </row>
    <row r="113" spans="1:6" ht="13.5" hidden="1" thickBot="1" x14ac:dyDescent="0.25">
      <c r="A113" s="7" t="s">
        <v>338</v>
      </c>
      <c r="D113" s="115" t="s">
        <v>192</v>
      </c>
      <c r="E113" s="50">
        <v>0.5</v>
      </c>
      <c r="F113" s="116">
        <f>E112*E113</f>
        <v>0</v>
      </c>
    </row>
    <row r="114" spans="1:6" hidden="1" x14ac:dyDescent="0.2">
      <c r="A114" s="7" t="s">
        <v>342</v>
      </c>
      <c r="D114" s="115"/>
      <c r="E114" s="56"/>
    </row>
    <row r="115" spans="1:6" ht="13.9" hidden="1" customHeight="1" x14ac:dyDescent="0.2"/>
    <row r="116" spans="1:6" ht="13.9" hidden="1" customHeight="1" thickBot="1" x14ac:dyDescent="0.25">
      <c r="A116" s="7" t="s">
        <v>339</v>
      </c>
    </row>
    <row r="117" spans="1:6" ht="13.9" hidden="1" customHeight="1" thickBot="1" x14ac:dyDescent="0.25">
      <c r="A117" s="57" t="s">
        <v>61</v>
      </c>
      <c r="B117" s="58" t="s">
        <v>62</v>
      </c>
      <c r="C117" s="58" t="s">
        <v>37</v>
      </c>
      <c r="D117" s="59" t="s">
        <v>234</v>
      </c>
      <c r="E117" s="59" t="s">
        <v>63</v>
      </c>
      <c r="F117" s="60" t="s">
        <v>64</v>
      </c>
    </row>
    <row r="118" spans="1:6" ht="13.9" hidden="1" customHeight="1" x14ac:dyDescent="0.2">
      <c r="A118" s="13" t="s">
        <v>215</v>
      </c>
      <c r="B118" s="14" t="s">
        <v>7</v>
      </c>
      <c r="C118" s="14">
        <v>1</v>
      </c>
      <c r="D118" s="15">
        <v>2300.9899999999998</v>
      </c>
      <c r="E118" s="15">
        <f>C118*D118</f>
        <v>2300.9899999999998</v>
      </c>
    </row>
    <row r="119" spans="1:6" ht="13.9" hidden="1" customHeight="1" x14ac:dyDescent="0.2">
      <c r="A119" s="108" t="s">
        <v>2</v>
      </c>
      <c r="B119" s="109"/>
      <c r="C119" s="109"/>
      <c r="D119" s="110"/>
      <c r="E119" s="111">
        <f>SUM(E118:E118)</f>
        <v>2300.9899999999998</v>
      </c>
      <c r="F119" s="44"/>
    </row>
    <row r="120" spans="1:6" ht="13.9" hidden="1" customHeight="1" x14ac:dyDescent="0.2">
      <c r="A120" s="16" t="s">
        <v>3</v>
      </c>
      <c r="B120" s="17" t="s">
        <v>1</v>
      </c>
      <c r="C120" s="131">
        <f>'3.Encargos Sociais'!$C$34*100</f>
        <v>74.95</v>
      </c>
      <c r="D120" s="18">
        <f>E119</f>
        <v>2300.9899999999998</v>
      </c>
      <c r="E120" s="18">
        <f>D120*C120/100</f>
        <v>1724.5920049999997</v>
      </c>
    </row>
    <row r="121" spans="1:6" ht="13.9" hidden="1" customHeight="1" x14ac:dyDescent="0.2">
      <c r="A121" s="108" t="s">
        <v>284</v>
      </c>
      <c r="B121" s="109"/>
      <c r="C121" s="109"/>
      <c r="D121" s="110"/>
      <c r="E121" s="111">
        <f>E119+E120</f>
        <v>4025.5820049999993</v>
      </c>
      <c r="F121" s="44"/>
    </row>
    <row r="122" spans="1:6" ht="13.9" hidden="1" customHeight="1" thickBot="1" x14ac:dyDescent="0.25">
      <c r="A122" s="16" t="s">
        <v>4</v>
      </c>
      <c r="B122" s="17" t="s">
        <v>5</v>
      </c>
      <c r="C122" s="82">
        <v>0</v>
      </c>
      <c r="D122" s="18">
        <f>E121</f>
        <v>4025.5820049999993</v>
      </c>
      <c r="E122" s="18">
        <f>C122*D122</f>
        <v>0</v>
      </c>
    </row>
    <row r="123" spans="1:6" ht="13.9" hidden="1" customHeight="1" thickBot="1" x14ac:dyDescent="0.25">
      <c r="A123" s="7" t="s">
        <v>340</v>
      </c>
      <c r="D123" s="115" t="s">
        <v>192</v>
      </c>
      <c r="E123" s="50">
        <v>0.5</v>
      </c>
      <c r="F123" s="116">
        <f>E122*E123</f>
        <v>0</v>
      </c>
    </row>
    <row r="124" spans="1:6" ht="13.9" hidden="1" customHeight="1" x14ac:dyDescent="0.2">
      <c r="A124" s="7" t="s">
        <v>342</v>
      </c>
      <c r="D124" s="115"/>
      <c r="E124" s="56"/>
    </row>
    <row r="125" spans="1:6" ht="13.9" hidden="1" customHeight="1" x14ac:dyDescent="0.2">
      <c r="A125" s="7"/>
      <c r="D125" s="115"/>
      <c r="E125" s="56"/>
    </row>
    <row r="126" spans="1:6" ht="13.5" thickBot="1" x14ac:dyDescent="0.25">
      <c r="A126" s="7" t="s">
        <v>341</v>
      </c>
      <c r="B126" s="88"/>
      <c r="D126" s="9"/>
      <c r="E126" s="9"/>
    </row>
    <row r="127" spans="1:6" ht="13.5" thickBot="1" x14ac:dyDescent="0.25">
      <c r="A127" s="57" t="s">
        <v>61</v>
      </c>
      <c r="B127" s="58" t="s">
        <v>62</v>
      </c>
      <c r="C127" s="58" t="s">
        <v>37</v>
      </c>
      <c r="D127" s="59" t="s">
        <v>234</v>
      </c>
      <c r="E127" s="59" t="s">
        <v>63</v>
      </c>
      <c r="F127" s="60" t="s">
        <v>64</v>
      </c>
    </row>
    <row r="128" spans="1:6" x14ac:dyDescent="0.2">
      <c r="A128" s="16" t="s">
        <v>88</v>
      </c>
      <c r="B128" s="17" t="s">
        <v>32</v>
      </c>
      <c r="C128" s="89">
        <v>1</v>
      </c>
      <c r="D128" s="87">
        <v>3</v>
      </c>
      <c r="E128" s="18"/>
    </row>
    <row r="129" spans="1:6" x14ac:dyDescent="0.2">
      <c r="A129" s="16" t="s">
        <v>89</v>
      </c>
      <c r="B129" s="17" t="s">
        <v>90</v>
      </c>
      <c r="C129" s="86">
        <v>4</v>
      </c>
      <c r="D129" s="18"/>
      <c r="E129" s="18"/>
    </row>
    <row r="130" spans="1:6" x14ac:dyDescent="0.2">
      <c r="A130" s="16" t="s">
        <v>71</v>
      </c>
      <c r="B130" s="17" t="s">
        <v>8</v>
      </c>
      <c r="C130" s="37">
        <f>(E38+E39)*C129*2</f>
        <v>24</v>
      </c>
      <c r="D130" s="15">
        <f>(D128*52-((E57*E61)*0.06))/52</f>
        <v>2.7419019230769233</v>
      </c>
      <c r="E130" s="18">
        <f>IFERROR(C130*D130,"-")</f>
        <v>65.805646153846155</v>
      </c>
    </row>
    <row r="131" spans="1:6" ht="13.5" thickBot="1" x14ac:dyDescent="0.25">
      <c r="A131" s="13" t="s">
        <v>41</v>
      </c>
      <c r="B131" s="14" t="s">
        <v>8</v>
      </c>
      <c r="C131" s="37">
        <f>(E40+E41)*C129*2</f>
        <v>8</v>
      </c>
      <c r="D131" s="15">
        <f>(D128*52-((E83*E87)*0.06))/52</f>
        <v>2.5417977272727272</v>
      </c>
      <c r="E131" s="15">
        <f>IFERROR(C131*D131,"-")</f>
        <v>20.334381818181818</v>
      </c>
    </row>
    <row r="132" spans="1:6" ht="13.5" thickBot="1" x14ac:dyDescent="0.25">
      <c r="A132" s="7" t="s">
        <v>356</v>
      </c>
      <c r="F132" s="22">
        <f>SUM(E130:E131)</f>
        <v>86.14002797202798</v>
      </c>
    </row>
    <row r="133" spans="1:6" ht="11.25" customHeight="1" x14ac:dyDescent="0.2"/>
    <row r="134" spans="1:6" ht="13.5" thickBot="1" x14ac:dyDescent="0.25">
      <c r="A134" s="7" t="s">
        <v>357</v>
      </c>
      <c r="F134" s="23"/>
    </row>
    <row r="135" spans="1:6" ht="13.5" thickBot="1" x14ac:dyDescent="0.25">
      <c r="A135" s="57" t="s">
        <v>61</v>
      </c>
      <c r="B135" s="58" t="s">
        <v>62</v>
      </c>
      <c r="C135" s="58" t="s">
        <v>37</v>
      </c>
      <c r="D135" s="59" t="s">
        <v>234</v>
      </c>
      <c r="E135" s="59" t="s">
        <v>63</v>
      </c>
      <c r="F135" s="60" t="s">
        <v>64</v>
      </c>
    </row>
    <row r="136" spans="1:6" x14ac:dyDescent="0.2">
      <c r="A136" s="16" t="str">
        <f>+A130</f>
        <v>Coletor</v>
      </c>
      <c r="B136" s="17" t="s">
        <v>9</v>
      </c>
      <c r="C136" s="95">
        <f>(C60+C73)*4</f>
        <v>12</v>
      </c>
      <c r="D136" s="294">
        <f>16.73*0.81</f>
        <v>13.551300000000001</v>
      </c>
      <c r="E136" s="50">
        <f>C136*D136</f>
        <v>162.61560000000003</v>
      </c>
      <c r="F136" s="23"/>
    </row>
    <row r="137" spans="1:6" ht="13.5" thickBot="1" x14ac:dyDescent="0.25">
      <c r="A137" s="16" t="str">
        <f>+A131</f>
        <v>Motorista</v>
      </c>
      <c r="B137" s="17" t="s">
        <v>9</v>
      </c>
      <c r="C137" s="95">
        <f>(C86+C102)*4</f>
        <v>4</v>
      </c>
      <c r="D137" s="294">
        <f>Memória!D9</f>
        <v>8.9120000000000008</v>
      </c>
      <c r="E137" s="50">
        <f>C137*D137</f>
        <v>35.648000000000003</v>
      </c>
      <c r="F137" s="23"/>
    </row>
    <row r="138" spans="1:6" ht="13.5" thickBot="1" x14ac:dyDescent="0.25">
      <c r="A138" s="7" t="s">
        <v>353</v>
      </c>
      <c r="F138" s="22">
        <f>SUM(E136:E137)</f>
        <v>198.26360000000003</v>
      </c>
    </row>
    <row r="139" spans="1:6" x14ac:dyDescent="0.2">
      <c r="A139" s="7" t="s">
        <v>354</v>
      </c>
    </row>
    <row r="140" spans="1:6" hidden="1" x14ac:dyDescent="0.2">
      <c r="A140" s="7"/>
    </row>
    <row r="141" spans="1:6" ht="13.5" hidden="1" thickBot="1" x14ac:dyDescent="0.25">
      <c r="A141" s="7" t="s">
        <v>358</v>
      </c>
      <c r="F141" s="23"/>
    </row>
    <row r="142" spans="1:6" ht="13.5" hidden="1" thickBot="1" x14ac:dyDescent="0.25">
      <c r="A142" s="57" t="s">
        <v>61</v>
      </c>
      <c r="B142" s="58" t="s">
        <v>62</v>
      </c>
      <c r="C142" s="58" t="s">
        <v>37</v>
      </c>
      <c r="D142" s="59" t="s">
        <v>234</v>
      </c>
      <c r="E142" s="59" t="s">
        <v>63</v>
      </c>
      <c r="F142" s="60" t="s">
        <v>64</v>
      </c>
    </row>
    <row r="143" spans="1:6" hidden="1" x14ac:dyDescent="0.2">
      <c r="A143" s="16" t="str">
        <f>+A136</f>
        <v>Coletor</v>
      </c>
      <c r="B143" s="17" t="s">
        <v>9</v>
      </c>
      <c r="C143" s="95">
        <f>E38+E39</f>
        <v>3</v>
      </c>
      <c r="D143" s="90"/>
      <c r="E143" s="50">
        <f>C143*D143</f>
        <v>0</v>
      </c>
      <c r="F143" s="23"/>
    </row>
    <row r="144" spans="1:6" ht="13.5" hidden="1" thickBot="1" x14ac:dyDescent="0.25">
      <c r="A144" s="16" t="s">
        <v>355</v>
      </c>
      <c r="B144" s="17" t="s">
        <v>9</v>
      </c>
      <c r="C144" s="95">
        <v>0</v>
      </c>
      <c r="D144" s="294">
        <f>Memória!D10</f>
        <v>59.576000000000001</v>
      </c>
      <c r="E144" s="50">
        <f>C144*D144</f>
        <v>0</v>
      </c>
      <c r="F144" s="23"/>
    </row>
    <row r="145" spans="1:6" ht="13.5" hidden="1" thickBot="1" x14ac:dyDescent="0.25">
      <c r="D145" s="115" t="s">
        <v>192</v>
      </c>
      <c r="E145" s="50">
        <f>E103</f>
        <v>0.88636363636363635</v>
      </c>
      <c r="F145" s="22">
        <f>SUM(E143:E144)*E145</f>
        <v>0</v>
      </c>
    </row>
    <row r="146" spans="1:6" ht="13.5" thickBot="1" x14ac:dyDescent="0.25"/>
    <row r="147" spans="1:6" ht="13.5" thickBot="1" x14ac:dyDescent="0.25">
      <c r="A147" s="24" t="s">
        <v>91</v>
      </c>
      <c r="B147" s="25"/>
      <c r="C147" s="25"/>
      <c r="D147" s="26"/>
      <c r="E147" s="27"/>
      <c r="F147" s="22">
        <f>F145+F138+F132+F113+F87+F74+F61+F103+F123</f>
        <v>2153.15590979021</v>
      </c>
    </row>
    <row r="149" spans="1:6" x14ac:dyDescent="0.2">
      <c r="A149" s="11" t="s">
        <v>42</v>
      </c>
    </row>
    <row r="150" spans="1:6" ht="11.25" customHeight="1" x14ac:dyDescent="0.2"/>
    <row r="151" spans="1:6" ht="13.9" customHeight="1" x14ac:dyDescent="0.2">
      <c r="A151" s="11" t="s">
        <v>194</v>
      </c>
    </row>
    <row r="152" spans="1:6" ht="11.25" customHeight="1" thickBot="1" x14ac:dyDescent="0.25"/>
    <row r="153" spans="1:6" ht="27.75" customHeight="1" thickBot="1" x14ac:dyDescent="0.25">
      <c r="A153" s="57" t="s">
        <v>61</v>
      </c>
      <c r="B153" s="58" t="s">
        <v>62</v>
      </c>
      <c r="C153" s="259" t="s">
        <v>250</v>
      </c>
      <c r="D153" s="59" t="s">
        <v>234</v>
      </c>
      <c r="E153" s="59" t="s">
        <v>63</v>
      </c>
      <c r="F153" s="60" t="s">
        <v>64</v>
      </c>
    </row>
    <row r="154" spans="1:6" ht="13.15" customHeight="1" x14ac:dyDescent="0.2">
      <c r="A154" s="291" t="s">
        <v>65</v>
      </c>
      <c r="B154" s="292" t="s">
        <v>9</v>
      </c>
      <c r="C154" s="329">
        <v>6</v>
      </c>
      <c r="D154" s="293">
        <v>118</v>
      </c>
      <c r="E154" s="15">
        <f t="shared" ref="E154:E164" si="1">IFERROR(D154/C154,0)</f>
        <v>19.666666666666668</v>
      </c>
    </row>
    <row r="155" spans="1:6" ht="13.15" customHeight="1" x14ac:dyDescent="0.2">
      <c r="A155" s="16" t="s">
        <v>27</v>
      </c>
      <c r="B155" s="17" t="s">
        <v>9</v>
      </c>
      <c r="C155" s="329">
        <v>2</v>
      </c>
      <c r="D155" s="326">
        <v>46.7</v>
      </c>
      <c r="E155" s="15">
        <f t="shared" ref="E155" si="2">IFERROR(D155/C155,0)</f>
        <v>23.35</v>
      </c>
    </row>
    <row r="156" spans="1:6" x14ac:dyDescent="0.2">
      <c r="A156" s="16" t="s">
        <v>28</v>
      </c>
      <c r="B156" s="17" t="s">
        <v>9</v>
      </c>
      <c r="C156" s="329">
        <v>2</v>
      </c>
      <c r="D156" s="326">
        <v>35</v>
      </c>
      <c r="E156" s="15">
        <f t="shared" si="1"/>
        <v>17.5</v>
      </c>
    </row>
    <row r="157" spans="1:6" x14ac:dyDescent="0.2">
      <c r="A157" s="287" t="s">
        <v>278</v>
      </c>
      <c r="B157" s="17" t="s">
        <v>9</v>
      </c>
      <c r="C157" s="328">
        <v>4</v>
      </c>
      <c r="D157" s="83">
        <v>28</v>
      </c>
      <c r="E157" s="15">
        <f t="shared" si="1"/>
        <v>7</v>
      </c>
    </row>
    <row r="158" spans="1:6" ht="13.15" customHeight="1" x14ac:dyDescent="0.2">
      <c r="A158" s="16" t="s">
        <v>29</v>
      </c>
      <c r="B158" s="17" t="s">
        <v>9</v>
      </c>
      <c r="C158" s="328">
        <v>4</v>
      </c>
      <c r="D158" s="326">
        <v>13</v>
      </c>
      <c r="E158" s="15">
        <f t="shared" si="1"/>
        <v>3.25</v>
      </c>
    </row>
    <row r="159" spans="1:6" ht="13.9" customHeight="1" x14ac:dyDescent="0.2">
      <c r="A159" s="287" t="s">
        <v>332</v>
      </c>
      <c r="B159" s="17" t="s">
        <v>45</v>
      </c>
      <c r="C159" s="328">
        <v>3</v>
      </c>
      <c r="D159" s="326">
        <v>36.9</v>
      </c>
      <c r="E159" s="15">
        <f t="shared" si="1"/>
        <v>12.299999999999999</v>
      </c>
    </row>
    <row r="160" spans="1:6" ht="13.15" customHeight="1" x14ac:dyDescent="0.2">
      <c r="A160" s="16" t="s">
        <v>92</v>
      </c>
      <c r="B160" s="17" t="s">
        <v>45</v>
      </c>
      <c r="C160" s="328">
        <v>2</v>
      </c>
      <c r="D160" s="326">
        <v>18</v>
      </c>
      <c r="E160" s="15">
        <f t="shared" si="1"/>
        <v>9</v>
      </c>
    </row>
    <row r="161" spans="1:6" x14ac:dyDescent="0.2">
      <c r="A161" s="16" t="s">
        <v>66</v>
      </c>
      <c r="B161" s="17" t="s">
        <v>9</v>
      </c>
      <c r="C161" s="328">
        <v>6</v>
      </c>
      <c r="D161" s="326">
        <v>23.6</v>
      </c>
      <c r="E161" s="15">
        <f t="shared" si="1"/>
        <v>3.9333333333333336</v>
      </c>
    </row>
    <row r="162" spans="1:6" s="1" customFormat="1" x14ac:dyDescent="0.2">
      <c r="A162" s="2" t="s">
        <v>10</v>
      </c>
      <c r="B162" s="3" t="s">
        <v>9</v>
      </c>
      <c r="C162" s="328">
        <v>4</v>
      </c>
      <c r="D162" s="326">
        <v>21</v>
      </c>
      <c r="E162" s="15">
        <f t="shared" si="1"/>
        <v>5.25</v>
      </c>
      <c r="F162" s="38"/>
    </row>
    <row r="163" spans="1:6" x14ac:dyDescent="0.2">
      <c r="A163" s="16" t="s">
        <v>30</v>
      </c>
      <c r="B163" s="17" t="s">
        <v>45</v>
      </c>
      <c r="C163" s="328">
        <v>1</v>
      </c>
      <c r="D163" s="326">
        <v>31.49</v>
      </c>
      <c r="E163" s="15">
        <f t="shared" si="1"/>
        <v>31.49</v>
      </c>
    </row>
    <row r="164" spans="1:6" ht="13.15" customHeight="1" x14ac:dyDescent="0.2">
      <c r="A164" s="16" t="s">
        <v>60</v>
      </c>
      <c r="B164" s="17" t="s">
        <v>46</v>
      </c>
      <c r="C164" s="328">
        <v>2</v>
      </c>
      <c r="D164" s="326">
        <v>24</v>
      </c>
      <c r="E164" s="15">
        <f t="shared" si="1"/>
        <v>12</v>
      </c>
    </row>
    <row r="165" spans="1:6" x14ac:dyDescent="0.2">
      <c r="A165" s="16" t="s">
        <v>195</v>
      </c>
      <c r="B165" s="17" t="s">
        <v>117</v>
      </c>
      <c r="C165" s="328">
        <v>1</v>
      </c>
      <c r="D165" s="326">
        <v>60</v>
      </c>
      <c r="E165" s="18">
        <f t="shared" ref="E165:E166" si="3">C165*D165</f>
        <v>60</v>
      </c>
    </row>
    <row r="166" spans="1:6" ht="13.5" thickBot="1" x14ac:dyDescent="0.25">
      <c r="A166" s="16" t="s">
        <v>4</v>
      </c>
      <c r="B166" s="17" t="s">
        <v>5</v>
      </c>
      <c r="C166" s="66">
        <f>E38+E39</f>
        <v>3</v>
      </c>
      <c r="D166" s="18">
        <f>+SUM(E154:E165)</f>
        <v>204.74</v>
      </c>
      <c r="E166" s="18">
        <f t="shared" si="3"/>
        <v>614.22</v>
      </c>
    </row>
    <row r="167" spans="1:6" ht="13.5" thickBot="1" x14ac:dyDescent="0.25">
      <c r="D167" s="115" t="s">
        <v>192</v>
      </c>
      <c r="E167" s="50">
        <f>$B$49</f>
        <v>0.125</v>
      </c>
      <c r="F167" s="116">
        <f>E166*E167</f>
        <v>76.777500000000003</v>
      </c>
    </row>
    <row r="168" spans="1:6" ht="11.25" customHeight="1" x14ac:dyDescent="0.2"/>
    <row r="169" spans="1:6" ht="13.9" customHeight="1" x14ac:dyDescent="0.2">
      <c r="A169" s="9" t="s">
        <v>196</v>
      </c>
    </row>
    <row r="170" spans="1:6" ht="11.25" customHeight="1" thickBot="1" x14ac:dyDescent="0.25"/>
    <row r="171" spans="1:6" ht="24.75" thickBot="1" x14ac:dyDescent="0.25">
      <c r="A171" s="57" t="s">
        <v>61</v>
      </c>
      <c r="B171" s="58" t="s">
        <v>62</v>
      </c>
      <c r="C171" s="259" t="s">
        <v>250</v>
      </c>
      <c r="D171" s="59" t="s">
        <v>234</v>
      </c>
      <c r="E171" s="59" t="s">
        <v>63</v>
      </c>
      <c r="F171" s="60" t="s">
        <v>64</v>
      </c>
    </row>
    <row r="172" spans="1:6" x14ac:dyDescent="0.2">
      <c r="A172" s="291" t="s">
        <v>65</v>
      </c>
      <c r="B172" s="17" t="s">
        <v>9</v>
      </c>
      <c r="C172" s="329">
        <v>6</v>
      </c>
      <c r="D172" s="83">
        <f>D154</f>
        <v>118</v>
      </c>
      <c r="E172" s="15">
        <f t="shared" ref="E172:E177" si="4">IFERROR(D172/C172,0)</f>
        <v>19.666666666666668</v>
      </c>
    </row>
    <row r="173" spans="1:6" x14ac:dyDescent="0.2">
      <c r="A173" s="16" t="s">
        <v>27</v>
      </c>
      <c r="B173" s="17" t="s">
        <v>9</v>
      </c>
      <c r="C173" s="328">
        <v>2</v>
      </c>
      <c r="D173" s="83">
        <f>D155</f>
        <v>46.7</v>
      </c>
      <c r="E173" s="15">
        <f t="shared" ref="E173" si="5">IFERROR(D173/C173,0)</f>
        <v>23.35</v>
      </c>
    </row>
    <row r="174" spans="1:6" x14ac:dyDescent="0.2">
      <c r="A174" s="16" t="s">
        <v>28</v>
      </c>
      <c r="B174" s="17" t="s">
        <v>9</v>
      </c>
      <c r="C174" s="328">
        <v>1</v>
      </c>
      <c r="D174" s="83">
        <f>D156</f>
        <v>35</v>
      </c>
      <c r="E174" s="15">
        <f t="shared" si="4"/>
        <v>35</v>
      </c>
    </row>
    <row r="175" spans="1:6" x14ac:dyDescent="0.2">
      <c r="A175" s="287" t="s">
        <v>333</v>
      </c>
      <c r="B175" s="17" t="s">
        <v>45</v>
      </c>
      <c r="C175" s="328">
        <v>3</v>
      </c>
      <c r="D175" s="83">
        <f>D159</f>
        <v>36.9</v>
      </c>
      <c r="E175" s="15">
        <f t="shared" si="4"/>
        <v>12.299999999999999</v>
      </c>
    </row>
    <row r="176" spans="1:6" x14ac:dyDescent="0.2">
      <c r="A176" s="16" t="s">
        <v>66</v>
      </c>
      <c r="B176" s="17" t="s">
        <v>9</v>
      </c>
      <c r="C176" s="328">
        <v>6</v>
      </c>
      <c r="D176" s="83">
        <f>D161</f>
        <v>23.6</v>
      </c>
      <c r="E176" s="15">
        <f t="shared" si="4"/>
        <v>3.9333333333333336</v>
      </c>
    </row>
    <row r="177" spans="1:6" x14ac:dyDescent="0.2">
      <c r="A177" s="16" t="s">
        <v>60</v>
      </c>
      <c r="B177" s="17" t="s">
        <v>46</v>
      </c>
      <c r="C177" s="328">
        <v>3</v>
      </c>
      <c r="D177" s="83">
        <f>D164</f>
        <v>24</v>
      </c>
      <c r="E177" s="15">
        <f t="shared" si="4"/>
        <v>8</v>
      </c>
    </row>
    <row r="178" spans="1:6" x14ac:dyDescent="0.2">
      <c r="A178" s="16" t="s">
        <v>195</v>
      </c>
      <c r="B178" s="17" t="s">
        <v>117</v>
      </c>
      <c r="C178" s="113">
        <v>1</v>
      </c>
      <c r="D178" s="83">
        <f>D165</f>
        <v>60</v>
      </c>
      <c r="E178" s="18">
        <f t="shared" ref="E178:E179" si="6">C178*D178</f>
        <v>60</v>
      </c>
    </row>
    <row r="179" spans="1:6" ht="13.5" thickBot="1" x14ac:dyDescent="0.25">
      <c r="A179" s="16" t="s">
        <v>4</v>
      </c>
      <c r="B179" s="17" t="s">
        <v>5</v>
      </c>
      <c r="C179" s="66">
        <f>E40+E41</f>
        <v>1</v>
      </c>
      <c r="D179" s="18">
        <f>+SUM(E172:E178)</f>
        <v>162.25</v>
      </c>
      <c r="E179" s="18">
        <f t="shared" si="6"/>
        <v>162.25</v>
      </c>
    </row>
    <row r="180" spans="1:6" ht="13.5" thickBot="1" x14ac:dyDescent="0.25">
      <c r="D180" s="115" t="s">
        <v>192</v>
      </c>
      <c r="E180" s="50">
        <f>E87</f>
        <v>0.20454545454545456</v>
      </c>
      <c r="F180" s="116">
        <f>E179*E180</f>
        <v>33.1875</v>
      </c>
    </row>
    <row r="181" spans="1:6" ht="11.25" customHeight="1" thickBot="1" x14ac:dyDescent="0.25"/>
    <row r="182" spans="1:6" ht="13.5" thickBot="1" x14ac:dyDescent="0.25">
      <c r="A182" s="24" t="s">
        <v>197</v>
      </c>
      <c r="B182" s="28"/>
      <c r="C182" s="28"/>
      <c r="D182" s="29"/>
      <c r="E182" s="30"/>
      <c r="F182" s="21">
        <f>+F167+F180</f>
        <v>109.965</v>
      </c>
    </row>
    <row r="183" spans="1:6" ht="11.25" customHeight="1" x14ac:dyDescent="0.2"/>
    <row r="184" spans="1:6" x14ac:dyDescent="0.2">
      <c r="A184" s="11" t="s">
        <v>51</v>
      </c>
    </row>
    <row r="185" spans="1:6" ht="11.25" customHeight="1" x14ac:dyDescent="0.2">
      <c r="B185" s="100"/>
    </row>
    <row r="186" spans="1:6" x14ac:dyDescent="0.2">
      <c r="A186" s="7" t="s">
        <v>331</v>
      </c>
    </row>
    <row r="187" spans="1:6" ht="11.25" customHeight="1" x14ac:dyDescent="0.2"/>
    <row r="188" spans="1:6" ht="13.5" thickBot="1" x14ac:dyDescent="0.25">
      <c r="A188" s="100" t="s">
        <v>43</v>
      </c>
    </row>
    <row r="189" spans="1:6" ht="13.5" thickBot="1" x14ac:dyDescent="0.25">
      <c r="A189" s="57" t="s">
        <v>61</v>
      </c>
      <c r="B189" s="58" t="s">
        <v>62</v>
      </c>
      <c r="C189" s="58" t="s">
        <v>37</v>
      </c>
      <c r="D189" s="59" t="s">
        <v>234</v>
      </c>
      <c r="E189" s="59" t="s">
        <v>63</v>
      </c>
      <c r="F189" s="60" t="s">
        <v>64</v>
      </c>
    </row>
    <row r="190" spans="1:6" x14ac:dyDescent="0.2">
      <c r="A190" s="13" t="s">
        <v>104</v>
      </c>
      <c r="B190" s="14" t="s">
        <v>9</v>
      </c>
      <c r="C190" s="265">
        <v>1</v>
      </c>
      <c r="D190" s="293">
        <v>213974</v>
      </c>
      <c r="E190" s="15">
        <f>C190*D190</f>
        <v>213974</v>
      </c>
    </row>
    <row r="191" spans="1:6" x14ac:dyDescent="0.2">
      <c r="A191" s="16" t="s">
        <v>98</v>
      </c>
      <c r="B191" s="17" t="s">
        <v>99</v>
      </c>
      <c r="C191" s="82">
        <v>8</v>
      </c>
      <c r="D191" s="80"/>
      <c r="E191" s="18"/>
    </row>
    <row r="192" spans="1:6" x14ac:dyDescent="0.2">
      <c r="A192" s="16" t="s">
        <v>210</v>
      </c>
      <c r="B192" s="17" t="s">
        <v>99</v>
      </c>
      <c r="C192" s="82">
        <v>4</v>
      </c>
      <c r="D192" s="18"/>
      <c r="E192" s="18"/>
      <c r="F192" s="20"/>
    </row>
    <row r="193" spans="1:6" x14ac:dyDescent="0.2">
      <c r="A193" s="16" t="s">
        <v>102</v>
      </c>
      <c r="B193" s="17" t="s">
        <v>1</v>
      </c>
      <c r="C193" s="131">
        <f>IFERROR(VLOOKUP(C191,'6. Depreciação'!A3:B17,2,FALSE),0)</f>
        <v>62.12</v>
      </c>
      <c r="D193" s="18">
        <f>E190</f>
        <v>213974</v>
      </c>
      <c r="E193" s="18">
        <f>C193*D193/100</f>
        <v>132920.6488</v>
      </c>
    </row>
    <row r="194" spans="1:6" ht="13.5" thickBot="1" x14ac:dyDescent="0.25">
      <c r="A194" s="271" t="s">
        <v>47</v>
      </c>
      <c r="B194" s="272" t="s">
        <v>7</v>
      </c>
      <c r="C194" s="272">
        <f>C191*12</f>
        <v>96</v>
      </c>
      <c r="D194" s="273">
        <f>IF(C192&lt;=C191,E193,0)</f>
        <v>132920.6488</v>
      </c>
      <c r="E194" s="273">
        <f>IFERROR(D194/C194,0)</f>
        <v>1384.5900916666667</v>
      </c>
    </row>
    <row r="195" spans="1:6" ht="13.5" thickTop="1" x14ac:dyDescent="0.2">
      <c r="A195" s="291" t="s">
        <v>367</v>
      </c>
      <c r="B195" s="14" t="s">
        <v>9</v>
      </c>
      <c r="C195" s="14">
        <f>C190</f>
        <v>1</v>
      </c>
      <c r="D195" s="83">
        <v>70000</v>
      </c>
      <c r="E195" s="15">
        <f>C195*D195</f>
        <v>70000</v>
      </c>
    </row>
    <row r="196" spans="1:6" x14ac:dyDescent="0.2">
      <c r="A196" s="287" t="s">
        <v>368</v>
      </c>
      <c r="B196" s="17" t="s">
        <v>99</v>
      </c>
      <c r="C196" s="82">
        <v>8</v>
      </c>
      <c r="D196" s="18"/>
      <c r="E196" s="18"/>
    </row>
    <row r="197" spans="1:6" x14ac:dyDescent="0.2">
      <c r="A197" s="287" t="s">
        <v>369</v>
      </c>
      <c r="B197" s="17" t="s">
        <v>99</v>
      </c>
      <c r="C197" s="82">
        <v>4</v>
      </c>
      <c r="D197" s="18"/>
      <c r="E197" s="18"/>
      <c r="F197" s="20"/>
    </row>
    <row r="198" spans="1:6" x14ac:dyDescent="0.2">
      <c r="A198" s="287" t="s">
        <v>370</v>
      </c>
      <c r="B198" s="17" t="s">
        <v>1</v>
      </c>
      <c r="C198" s="132">
        <f>IFERROR(VLOOKUP(C196,'6. Depreciação'!A3:B17,2,FALSE),0)</f>
        <v>62.12</v>
      </c>
      <c r="D198" s="18">
        <f>E195</f>
        <v>70000</v>
      </c>
      <c r="E198" s="18">
        <f>C198*D198/100</f>
        <v>43484</v>
      </c>
    </row>
    <row r="199" spans="1:6" x14ac:dyDescent="0.2">
      <c r="A199" s="96" t="s">
        <v>371</v>
      </c>
      <c r="B199" s="97" t="s">
        <v>7</v>
      </c>
      <c r="C199" s="97">
        <f>C196*12</f>
        <v>96</v>
      </c>
      <c r="D199" s="98">
        <f>IF(C197&lt;=C196,E198,0)</f>
        <v>43484</v>
      </c>
      <c r="E199" s="98">
        <f>IFERROR(D199/C199,0)</f>
        <v>452.95833333333331</v>
      </c>
    </row>
    <row r="200" spans="1:6" x14ac:dyDescent="0.2">
      <c r="A200" s="108" t="s">
        <v>253</v>
      </c>
      <c r="B200" s="109"/>
      <c r="C200" s="109"/>
      <c r="D200" s="110"/>
      <c r="E200" s="111">
        <f>E194+E199</f>
        <v>1837.548425</v>
      </c>
    </row>
    <row r="201" spans="1:6" ht="13.5" thickBot="1" x14ac:dyDescent="0.25">
      <c r="A201" s="96" t="s">
        <v>254</v>
      </c>
      <c r="B201" s="97" t="s">
        <v>9</v>
      </c>
      <c r="C201" s="82">
        <v>1.1000000000000001</v>
      </c>
      <c r="D201" s="98">
        <f>E200</f>
        <v>1837.548425</v>
      </c>
      <c r="E201" s="111">
        <f>C201*D201</f>
        <v>2021.3032675000002</v>
      </c>
    </row>
    <row r="202" spans="1:6" ht="13.5" thickBot="1" x14ac:dyDescent="0.25">
      <c r="A202" s="264"/>
      <c r="B202" s="264"/>
      <c r="C202" s="264"/>
      <c r="D202" s="115" t="s">
        <v>192</v>
      </c>
      <c r="E202" s="367">
        <f>E87</f>
        <v>0.20454545454545456</v>
      </c>
      <c r="F202" s="21">
        <f>E201*E202</f>
        <v>413.44839562500005</v>
      </c>
    </row>
    <row r="203" spans="1:6" ht="11.25" customHeight="1" x14ac:dyDescent="0.2"/>
    <row r="204" spans="1:6" ht="13.5" thickBot="1" x14ac:dyDescent="0.25">
      <c r="A204" s="100" t="s">
        <v>108</v>
      </c>
    </row>
    <row r="205" spans="1:6" ht="13.5" thickBot="1" x14ac:dyDescent="0.25">
      <c r="A205" s="102" t="s">
        <v>61</v>
      </c>
      <c r="B205" s="103" t="s">
        <v>62</v>
      </c>
      <c r="C205" s="334" t="s">
        <v>37</v>
      </c>
      <c r="D205" s="59" t="s">
        <v>234</v>
      </c>
      <c r="E205" s="104" t="s">
        <v>63</v>
      </c>
      <c r="F205" s="60" t="s">
        <v>64</v>
      </c>
    </row>
    <row r="206" spans="1:6" x14ac:dyDescent="0.2">
      <c r="A206" s="16" t="s">
        <v>106</v>
      </c>
      <c r="B206" s="17" t="s">
        <v>9</v>
      </c>
      <c r="C206" s="265">
        <v>1</v>
      </c>
      <c r="D206" s="18">
        <f>D190</f>
        <v>213974</v>
      </c>
      <c r="E206" s="18">
        <f>C206*D206</f>
        <v>213974</v>
      </c>
      <c r="F206" s="20"/>
    </row>
    <row r="207" spans="1:6" x14ac:dyDescent="0.2">
      <c r="A207" s="16" t="s">
        <v>214</v>
      </c>
      <c r="B207" s="17" t="s">
        <v>1</v>
      </c>
      <c r="C207" s="82">
        <v>6.5</v>
      </c>
      <c r="D207" s="18"/>
      <c r="E207" s="18"/>
      <c r="F207" s="20"/>
    </row>
    <row r="208" spans="1:6" x14ac:dyDescent="0.2">
      <c r="A208" s="16" t="s">
        <v>212</v>
      </c>
      <c r="B208" s="17" t="s">
        <v>32</v>
      </c>
      <c r="C208" s="139">
        <f>IFERROR(IF(C192&lt;=C191,E190-(C193/(100*C191)*C192)*E190,E190-E193),0)</f>
        <v>147513.67560000002</v>
      </c>
      <c r="D208" s="18"/>
      <c r="E208" s="18"/>
      <c r="F208" s="20"/>
    </row>
    <row r="209" spans="1:6" x14ac:dyDescent="0.2">
      <c r="A209" s="16" t="s">
        <v>110</v>
      </c>
      <c r="B209" s="17" t="s">
        <v>32</v>
      </c>
      <c r="C209" s="80">
        <f>IFERROR(IF(C192&gt;=C191,C208,((((C208)-(E190-E193))*(((C191-C192)+1)/(2*(C191-C192))))+(E190-E193))),0)</f>
        <v>122591.05395000002</v>
      </c>
      <c r="D209" s="18"/>
      <c r="E209" s="18"/>
      <c r="F209" s="20"/>
    </row>
    <row r="210" spans="1:6" ht="13.5" thickBot="1" x14ac:dyDescent="0.25">
      <c r="A210" s="271" t="s">
        <v>111</v>
      </c>
      <c r="B210" s="272" t="s">
        <v>32</v>
      </c>
      <c r="C210" s="272"/>
      <c r="D210" s="274">
        <f>C207*C209/12/100</f>
        <v>664.03487556250013</v>
      </c>
      <c r="E210" s="273">
        <f>D210</f>
        <v>664.03487556250013</v>
      </c>
      <c r="F210" s="20"/>
    </row>
    <row r="211" spans="1:6" ht="13.5" thickTop="1" x14ac:dyDescent="0.2">
      <c r="A211" s="13" t="str">
        <f>A195</f>
        <v xml:space="preserve">Custo de aquisição da caçamba </v>
      </c>
      <c r="B211" s="14" t="s">
        <v>9</v>
      </c>
      <c r="C211" s="14">
        <f>C195</f>
        <v>1</v>
      </c>
      <c r="D211" s="15">
        <f>D195</f>
        <v>70000</v>
      </c>
      <c r="E211" s="15">
        <f>C211*D211</f>
        <v>70000</v>
      </c>
      <c r="F211" s="20"/>
    </row>
    <row r="212" spans="1:6" x14ac:dyDescent="0.2">
      <c r="A212" s="16" t="s">
        <v>214</v>
      </c>
      <c r="B212" s="17" t="s">
        <v>1</v>
      </c>
      <c r="C212" s="266">
        <f>C207</f>
        <v>6.5</v>
      </c>
      <c r="D212" s="18"/>
      <c r="E212" s="18"/>
      <c r="F212" s="20"/>
    </row>
    <row r="213" spans="1:6" x14ac:dyDescent="0.2">
      <c r="A213" s="16" t="s">
        <v>213</v>
      </c>
      <c r="B213" s="17" t="s">
        <v>32</v>
      </c>
      <c r="C213" s="139">
        <f>IFERROR(IF(C197&lt;=C196,E195-(C198/(100*C196)*C197)*E195,E195-E198),0)</f>
        <v>48258</v>
      </c>
      <c r="D213" s="18"/>
      <c r="E213" s="18"/>
      <c r="F213" s="20"/>
    </row>
    <row r="214" spans="1:6" x14ac:dyDescent="0.2">
      <c r="A214" s="16" t="s">
        <v>112</v>
      </c>
      <c r="B214" s="17" t="s">
        <v>32</v>
      </c>
      <c r="C214" s="80">
        <f>IFERROR(IF(C197&gt;=C196,C213,((((C213)-(E195-E198))*(((C196-C197)+1)/(2*(C196-C197))))+(E195-E198))),0)</f>
        <v>40104.75</v>
      </c>
      <c r="D214" s="18"/>
      <c r="E214" s="18"/>
      <c r="F214" s="20"/>
    </row>
    <row r="215" spans="1:6" x14ac:dyDescent="0.2">
      <c r="A215" s="96" t="s">
        <v>109</v>
      </c>
      <c r="B215" s="97" t="s">
        <v>32</v>
      </c>
      <c r="C215" s="97"/>
      <c r="D215" s="105">
        <f>C212*C214/12/100</f>
        <v>217.23406249999999</v>
      </c>
      <c r="E215" s="98">
        <f>D215</f>
        <v>217.23406249999999</v>
      </c>
      <c r="F215" s="20"/>
    </row>
    <row r="216" spans="1:6" x14ac:dyDescent="0.2">
      <c r="A216" s="108" t="s">
        <v>253</v>
      </c>
      <c r="B216" s="109"/>
      <c r="C216" s="109"/>
      <c r="D216" s="110"/>
      <c r="E216" s="111">
        <f>E210+E215</f>
        <v>881.26893806250018</v>
      </c>
      <c r="F216" s="20"/>
    </row>
    <row r="217" spans="1:6" ht="13.5" thickBot="1" x14ac:dyDescent="0.25">
      <c r="A217" s="96" t="s">
        <v>254</v>
      </c>
      <c r="B217" s="97" t="s">
        <v>9</v>
      </c>
      <c r="C217" s="266">
        <f>C201</f>
        <v>1.1000000000000001</v>
      </c>
      <c r="D217" s="98">
        <f>E216</f>
        <v>881.26893806250018</v>
      </c>
      <c r="E217" s="111">
        <f>C217*D217</f>
        <v>969.39583186875029</v>
      </c>
      <c r="F217" s="20"/>
    </row>
    <row r="218" spans="1:6" ht="13.5" thickBot="1" x14ac:dyDescent="0.25">
      <c r="C218" s="19"/>
      <c r="D218" s="115" t="s">
        <v>192</v>
      </c>
      <c r="E218" s="367">
        <f>E202</f>
        <v>0.20454545454545456</v>
      </c>
      <c r="F218" s="21">
        <f>E217*E218</f>
        <v>198.28551106406258</v>
      </c>
    </row>
    <row r="219" spans="1:6" ht="11.25" customHeight="1" x14ac:dyDescent="0.2"/>
    <row r="220" spans="1:6" ht="13.5" thickBot="1" x14ac:dyDescent="0.25">
      <c r="A220" s="9" t="s">
        <v>48</v>
      </c>
    </row>
    <row r="221" spans="1:6" ht="13.5" thickBot="1" x14ac:dyDescent="0.25">
      <c r="A221" s="57" t="s">
        <v>61</v>
      </c>
      <c r="B221" s="58" t="s">
        <v>62</v>
      </c>
      <c r="C221" s="58" t="s">
        <v>37</v>
      </c>
      <c r="D221" s="59" t="s">
        <v>234</v>
      </c>
      <c r="E221" s="59" t="s">
        <v>63</v>
      </c>
      <c r="F221" s="60" t="s">
        <v>64</v>
      </c>
    </row>
    <row r="222" spans="1:6" x14ac:dyDescent="0.2">
      <c r="A222" s="13" t="s">
        <v>11</v>
      </c>
      <c r="B222" s="14" t="s">
        <v>9</v>
      </c>
      <c r="C222" s="15">
        <f>C201</f>
        <v>1.1000000000000001</v>
      </c>
      <c r="D222" s="15">
        <f>0.01*($C$208)</f>
        <v>1475.1367560000001</v>
      </c>
      <c r="E222" s="15">
        <f>C222*D222</f>
        <v>1622.6504316000003</v>
      </c>
    </row>
    <row r="223" spans="1:6" x14ac:dyDescent="0.2">
      <c r="A223" s="16" t="s">
        <v>191</v>
      </c>
      <c r="B223" s="17" t="s">
        <v>9</v>
      </c>
      <c r="C223" s="15">
        <f>C201</f>
        <v>1.1000000000000001</v>
      </c>
      <c r="D223" s="85">
        <v>150</v>
      </c>
      <c r="E223" s="18">
        <f>C223*D223</f>
        <v>165</v>
      </c>
    </row>
    <row r="224" spans="1:6" x14ac:dyDescent="0.2">
      <c r="A224" s="16" t="s">
        <v>12</v>
      </c>
      <c r="B224" s="17" t="s">
        <v>9</v>
      </c>
      <c r="C224" s="15">
        <f>C201</f>
        <v>1.1000000000000001</v>
      </c>
      <c r="D224" s="85">
        <v>2744</v>
      </c>
      <c r="E224" s="18">
        <f>C224*D224</f>
        <v>3018.4</v>
      </c>
      <c r="F224" s="31"/>
    </row>
    <row r="225" spans="1:6" ht="13.5" thickBot="1" x14ac:dyDescent="0.25">
      <c r="A225" s="96" t="s">
        <v>13</v>
      </c>
      <c r="B225" s="97" t="s">
        <v>7</v>
      </c>
      <c r="C225" s="97">
        <v>12</v>
      </c>
      <c r="D225" s="98">
        <f>SUM(E222:E224)</f>
        <v>4806.0504316000006</v>
      </c>
      <c r="E225" s="98">
        <f>D225/C225</f>
        <v>400.50420263333336</v>
      </c>
    </row>
    <row r="226" spans="1:6" ht="13.5" thickBot="1" x14ac:dyDescent="0.25">
      <c r="D226" s="115" t="s">
        <v>192</v>
      </c>
      <c r="E226" s="367">
        <f>E218</f>
        <v>0.20454545454545456</v>
      </c>
      <c r="F226" s="116">
        <f>E225*E226</f>
        <v>81.921314175000006</v>
      </c>
    </row>
    <row r="227" spans="1:6" ht="11.25" customHeight="1" x14ac:dyDescent="0.2"/>
    <row r="228" spans="1:6" x14ac:dyDescent="0.2">
      <c r="A228" s="9" t="s">
        <v>49</v>
      </c>
      <c r="B228" s="32"/>
    </row>
    <row r="229" spans="1:6" x14ac:dyDescent="0.2">
      <c r="B229" s="32"/>
    </row>
    <row r="230" spans="1:6" x14ac:dyDescent="0.2">
      <c r="A230" s="96" t="s">
        <v>114</v>
      </c>
      <c r="B230" s="380">
        <f>'Rotas selet '!F31</f>
        <v>994.71471428571431</v>
      </c>
    </row>
    <row r="231" spans="1:6" ht="13.5" thickBot="1" x14ac:dyDescent="0.25">
      <c r="B231" s="32"/>
    </row>
    <row r="232" spans="1:6" ht="13.5" thickBot="1" x14ac:dyDescent="0.25">
      <c r="A232" s="57" t="s">
        <v>61</v>
      </c>
      <c r="B232" s="58" t="s">
        <v>62</v>
      </c>
      <c r="C232" s="58" t="s">
        <v>252</v>
      </c>
      <c r="D232" s="59" t="s">
        <v>234</v>
      </c>
      <c r="E232" s="59" t="s">
        <v>63</v>
      </c>
      <c r="F232" s="60" t="s">
        <v>64</v>
      </c>
    </row>
    <row r="233" spans="1:6" x14ac:dyDescent="0.2">
      <c r="A233" s="291" t="s">
        <v>412</v>
      </c>
      <c r="B233" s="14" t="s">
        <v>14</v>
      </c>
      <c r="C233" s="92">
        <v>2</v>
      </c>
      <c r="D233" s="93">
        <v>3.55</v>
      </c>
      <c r="E233" s="15"/>
    </row>
    <row r="234" spans="1:6" x14ac:dyDescent="0.2">
      <c r="A234" s="16" t="s">
        <v>15</v>
      </c>
      <c r="B234" s="17" t="s">
        <v>16</v>
      </c>
      <c r="C234" s="18">
        <f>'Rotas selet '!F32</f>
        <v>208.71471428571428</v>
      </c>
      <c r="D234" s="263">
        <f>IFERROR(+D233/C233,"-")</f>
        <v>1.7749999999999999</v>
      </c>
      <c r="E234" s="18">
        <f>IFERROR(C234*D234,"-")</f>
        <v>370.46861785714282</v>
      </c>
    </row>
    <row r="235" spans="1:6" x14ac:dyDescent="0.2">
      <c r="A235" s="291" t="s">
        <v>414</v>
      </c>
      <c r="B235" s="14" t="s">
        <v>14</v>
      </c>
      <c r="C235" s="92">
        <v>2.5</v>
      </c>
      <c r="D235" s="93">
        <v>3.55</v>
      </c>
      <c r="E235" s="15"/>
    </row>
    <row r="236" spans="1:6" x14ac:dyDescent="0.2">
      <c r="A236" s="16" t="s">
        <v>15</v>
      </c>
      <c r="B236" s="17" t="s">
        <v>16</v>
      </c>
      <c r="C236" s="18">
        <f>'Rotas selet '!F33</f>
        <v>786</v>
      </c>
      <c r="D236" s="263">
        <f>IFERROR(+D235/C235,"-")</f>
        <v>1.42</v>
      </c>
      <c r="E236" s="18">
        <f>IFERROR(C236*D236,"-")</f>
        <v>1116.1199999999999</v>
      </c>
    </row>
    <row r="237" spans="1:6" x14ac:dyDescent="0.2">
      <c r="A237" s="16" t="s">
        <v>235</v>
      </c>
      <c r="B237" s="17" t="s">
        <v>17</v>
      </c>
      <c r="C237" s="330">
        <v>1.33</v>
      </c>
      <c r="D237" s="295">
        <v>15.5</v>
      </c>
      <c r="E237" s="18"/>
    </row>
    <row r="238" spans="1:6" x14ac:dyDescent="0.2">
      <c r="A238" s="16" t="s">
        <v>18</v>
      </c>
      <c r="B238" s="17" t="s">
        <v>16</v>
      </c>
      <c r="C238" s="18">
        <f>B230</f>
        <v>994.71471428571431</v>
      </c>
      <c r="D238" s="260">
        <f>+C237*D237/1000</f>
        <v>2.0615000000000001E-2</v>
      </c>
      <c r="E238" s="18">
        <f>C238*D238</f>
        <v>20.506043835000003</v>
      </c>
    </row>
    <row r="239" spans="1:6" x14ac:dyDescent="0.2">
      <c r="A239" s="16" t="s">
        <v>236</v>
      </c>
      <c r="B239" s="17" t="s">
        <v>17</v>
      </c>
      <c r="C239" s="330">
        <v>0.18</v>
      </c>
      <c r="D239" s="295">
        <v>21.86</v>
      </c>
      <c r="E239" s="18"/>
    </row>
    <row r="240" spans="1:6" x14ac:dyDescent="0.2">
      <c r="A240" s="16" t="s">
        <v>19</v>
      </c>
      <c r="B240" s="17" t="s">
        <v>16</v>
      </c>
      <c r="C240" s="18">
        <f>B230</f>
        <v>994.71471428571431</v>
      </c>
      <c r="D240" s="260">
        <f>+C239*D239/1000</f>
        <v>3.9347999999999996E-3</v>
      </c>
      <c r="E240" s="18">
        <f>C240*D240</f>
        <v>3.9140034577714284</v>
      </c>
    </row>
    <row r="241" spans="1:6" x14ac:dyDescent="0.2">
      <c r="A241" s="287" t="s">
        <v>418</v>
      </c>
      <c r="B241" s="288" t="s">
        <v>17</v>
      </c>
      <c r="C241" s="330">
        <v>0.5</v>
      </c>
      <c r="D241" s="295">
        <v>33.5</v>
      </c>
      <c r="E241" s="383"/>
    </row>
    <row r="242" spans="1:6" x14ac:dyDescent="0.2">
      <c r="A242" s="287" t="s">
        <v>419</v>
      </c>
      <c r="B242" s="288" t="s">
        <v>16</v>
      </c>
      <c r="C242" s="383">
        <f>B230</f>
        <v>994.71471428571431</v>
      </c>
      <c r="D242" s="384">
        <f>+C241*D241/1000</f>
        <v>1.6750000000000001E-2</v>
      </c>
      <c r="E242" s="383">
        <f>C242*D242</f>
        <v>16.661471464285714</v>
      </c>
    </row>
    <row r="243" spans="1:6" x14ac:dyDescent="0.2">
      <c r="A243" s="287" t="s">
        <v>359</v>
      </c>
      <c r="B243" s="288" t="s">
        <v>17</v>
      </c>
      <c r="C243" s="330">
        <v>25</v>
      </c>
      <c r="D243" s="295">
        <v>1.8</v>
      </c>
      <c r="E243" s="18"/>
    </row>
    <row r="244" spans="1:6" x14ac:dyDescent="0.2">
      <c r="A244" s="287" t="s">
        <v>360</v>
      </c>
      <c r="B244" s="17" t="s">
        <v>16</v>
      </c>
      <c r="C244" s="18">
        <f>B230</f>
        <v>994.71471428571431</v>
      </c>
      <c r="D244" s="260">
        <f>+C243*D243/1000</f>
        <v>4.4999999999999998E-2</v>
      </c>
      <c r="E244" s="18">
        <f>C244*D244</f>
        <v>44.762162142857143</v>
      </c>
    </row>
    <row r="245" spans="1:6" x14ac:dyDescent="0.2">
      <c r="A245" s="16" t="s">
        <v>20</v>
      </c>
      <c r="B245" s="17" t="s">
        <v>21</v>
      </c>
      <c r="C245" s="330">
        <v>0.5</v>
      </c>
      <c r="D245" s="295">
        <v>20.41</v>
      </c>
      <c r="E245" s="18"/>
    </row>
    <row r="246" spans="1:6" x14ac:dyDescent="0.2">
      <c r="A246" s="16" t="s">
        <v>22</v>
      </c>
      <c r="B246" s="17" t="s">
        <v>16</v>
      </c>
      <c r="C246" s="18">
        <f>B230</f>
        <v>994.71471428571431</v>
      </c>
      <c r="D246" s="260">
        <f>+C245*D245/1000</f>
        <v>1.0205000000000001E-2</v>
      </c>
      <c r="E246" s="18">
        <f>C246*D246</f>
        <v>10.151063659285715</v>
      </c>
    </row>
    <row r="247" spans="1:6" ht="13.5" thickBot="1" x14ac:dyDescent="0.25">
      <c r="A247" s="96" t="s">
        <v>251</v>
      </c>
      <c r="B247" s="97" t="s">
        <v>115</v>
      </c>
      <c r="C247" s="261"/>
      <c r="D247" s="262">
        <f>IFERROR(D234+D238+D240+D244+D246,0)</f>
        <v>1.8547547999999998</v>
      </c>
      <c r="E247" s="18"/>
    </row>
    <row r="248" spans="1:6" ht="13.5" thickBot="1" x14ac:dyDescent="0.25">
      <c r="F248" s="21">
        <f>SUM(E233:E246)</f>
        <v>1582.5833624163427</v>
      </c>
    </row>
    <row r="249" spans="1:6" ht="11.25" hidden="1" customHeight="1" x14ac:dyDescent="0.2"/>
    <row r="250" spans="1:6" ht="13.5" thickBot="1" x14ac:dyDescent="0.25">
      <c r="A250" s="9" t="s">
        <v>50</v>
      </c>
    </row>
    <row r="251" spans="1:6" ht="13.5" thickBot="1" x14ac:dyDescent="0.25">
      <c r="A251" s="57" t="s">
        <v>61</v>
      </c>
      <c r="B251" s="58" t="s">
        <v>62</v>
      </c>
      <c r="C251" s="58" t="s">
        <v>37</v>
      </c>
      <c r="D251" s="59" t="s">
        <v>234</v>
      </c>
      <c r="E251" s="59" t="s">
        <v>63</v>
      </c>
      <c r="F251" s="60" t="s">
        <v>64</v>
      </c>
    </row>
    <row r="252" spans="1:6" ht="13.5" thickBot="1" x14ac:dyDescent="0.25">
      <c r="A252" s="13" t="s">
        <v>113</v>
      </c>
      <c r="B252" s="14" t="s">
        <v>115</v>
      </c>
      <c r="C252" s="18">
        <f>B230</f>
        <v>994.71471428571431</v>
      </c>
      <c r="D252" s="83">
        <v>0.79</v>
      </c>
      <c r="E252" s="15">
        <f>C252*D252</f>
        <v>785.82462428571432</v>
      </c>
    </row>
    <row r="253" spans="1:6" ht="13.5" thickBot="1" x14ac:dyDescent="0.25">
      <c r="F253" s="21">
        <f>E252</f>
        <v>785.82462428571432</v>
      </c>
    </row>
    <row r="254" spans="1:6" ht="13.5" thickBot="1" x14ac:dyDescent="0.25">
      <c r="A254" s="9" t="s">
        <v>59</v>
      </c>
    </row>
    <row r="255" spans="1:6" ht="13.5" thickBot="1" x14ac:dyDescent="0.25">
      <c r="A255" s="57" t="s">
        <v>61</v>
      </c>
      <c r="B255" s="58" t="s">
        <v>62</v>
      </c>
      <c r="C255" s="58" t="s">
        <v>37</v>
      </c>
      <c r="D255" s="59" t="s">
        <v>234</v>
      </c>
      <c r="E255" s="59" t="s">
        <v>63</v>
      </c>
      <c r="F255" s="60" t="s">
        <v>64</v>
      </c>
    </row>
    <row r="256" spans="1:6" x14ac:dyDescent="0.2">
      <c r="A256" s="291" t="s">
        <v>329</v>
      </c>
      <c r="B256" s="14" t="s">
        <v>9</v>
      </c>
      <c r="C256" s="91">
        <v>6</v>
      </c>
      <c r="D256" s="83">
        <v>1577</v>
      </c>
      <c r="E256" s="15">
        <f>C256*D256</f>
        <v>9462</v>
      </c>
    </row>
    <row r="257" spans="1:6" x14ac:dyDescent="0.2">
      <c r="A257" s="13" t="s">
        <v>116</v>
      </c>
      <c r="B257" s="14" t="s">
        <v>9</v>
      </c>
      <c r="C257" s="91">
        <v>2</v>
      </c>
      <c r="D257" s="99"/>
      <c r="E257" s="15"/>
    </row>
    <row r="258" spans="1:6" x14ac:dyDescent="0.2">
      <c r="A258" s="13" t="s">
        <v>68</v>
      </c>
      <c r="B258" s="14" t="s">
        <v>9</v>
      </c>
      <c r="C258" s="15">
        <f>C256*C257</f>
        <v>12</v>
      </c>
      <c r="D258" s="83">
        <v>550</v>
      </c>
      <c r="E258" s="15">
        <f>C258*D258</f>
        <v>6600</v>
      </c>
    </row>
    <row r="259" spans="1:6" x14ac:dyDescent="0.2">
      <c r="A259" s="287" t="s">
        <v>330</v>
      </c>
      <c r="B259" s="17" t="s">
        <v>23</v>
      </c>
      <c r="C259" s="94">
        <v>70000</v>
      </c>
      <c r="D259" s="18">
        <f>E256+E258</f>
        <v>16062</v>
      </c>
      <c r="E259" s="18">
        <f>IFERROR(D259/C259,"-")</f>
        <v>0.22945714285714286</v>
      </c>
    </row>
    <row r="260" spans="1:6" ht="13.5" thickBot="1" x14ac:dyDescent="0.25">
      <c r="A260" s="16" t="s">
        <v>52</v>
      </c>
      <c r="B260" s="17" t="s">
        <v>16</v>
      </c>
      <c r="C260" s="18">
        <f>B230</f>
        <v>994.71471428571431</v>
      </c>
      <c r="D260" s="18">
        <f>E259</f>
        <v>0.22945714285714286</v>
      </c>
      <c r="E260" s="18">
        <f>IFERROR(C260*D260,0)</f>
        <v>228.24439629795918</v>
      </c>
    </row>
    <row r="261" spans="1:6" ht="13.5" thickBot="1" x14ac:dyDescent="0.25">
      <c r="F261" s="21">
        <f>E260</f>
        <v>228.24439629795918</v>
      </c>
    </row>
    <row r="262" spans="1:6" ht="11.25" customHeight="1" thickBot="1" x14ac:dyDescent="0.25"/>
    <row r="263" spans="1:6" ht="13.5" thickBot="1" x14ac:dyDescent="0.25">
      <c r="A263" s="24" t="s">
        <v>225</v>
      </c>
      <c r="B263" s="25"/>
      <c r="C263" s="25"/>
      <c r="D263" s="26"/>
      <c r="E263" s="27"/>
      <c r="F263" s="21">
        <f>+SUM(F190:F262)</f>
        <v>3290.3076038640788</v>
      </c>
    </row>
    <row r="264" spans="1:6" ht="11.25" customHeight="1" x14ac:dyDescent="0.2"/>
    <row r="265" spans="1:6" x14ac:dyDescent="0.2">
      <c r="A265" s="34" t="s">
        <v>72</v>
      </c>
      <c r="B265" s="34"/>
      <c r="C265" s="34"/>
      <c r="D265" s="35"/>
      <c r="E265" s="35"/>
      <c r="F265" s="33"/>
    </row>
    <row r="266" spans="1:6" ht="11.25" customHeight="1" thickBot="1" x14ac:dyDescent="0.25"/>
    <row r="267" spans="1:6" ht="13.5" thickBot="1" x14ac:dyDescent="0.25">
      <c r="A267" s="57" t="s">
        <v>61</v>
      </c>
      <c r="B267" s="58" t="s">
        <v>62</v>
      </c>
      <c r="C267" s="58" t="s">
        <v>361</v>
      </c>
      <c r="D267" s="59" t="s">
        <v>234</v>
      </c>
      <c r="E267" s="59" t="s">
        <v>63</v>
      </c>
      <c r="F267" s="60" t="s">
        <v>64</v>
      </c>
    </row>
    <row r="268" spans="1:6" x14ac:dyDescent="0.2">
      <c r="A268" s="16" t="s">
        <v>69</v>
      </c>
      <c r="B268" s="17" t="s">
        <v>9</v>
      </c>
      <c r="C268" s="331">
        <v>6</v>
      </c>
      <c r="D268" s="83">
        <v>39</v>
      </c>
      <c r="E268" s="18">
        <f>D268/C268</f>
        <v>6.5</v>
      </c>
      <c r="F268" s="54"/>
    </row>
    <row r="269" spans="1:6" x14ac:dyDescent="0.2">
      <c r="A269" s="16" t="s">
        <v>25</v>
      </c>
      <c r="B269" s="17" t="s">
        <v>9</v>
      </c>
      <c r="C269" s="331">
        <v>6</v>
      </c>
      <c r="D269" s="83">
        <v>26.92</v>
      </c>
      <c r="E269" s="18">
        <f t="shared" ref="E269:E272" si="7">D269/C269</f>
        <v>4.4866666666666672</v>
      </c>
      <c r="F269" s="54"/>
    </row>
    <row r="270" spans="1:6" x14ac:dyDescent="0.2">
      <c r="A270" s="16" t="s">
        <v>26</v>
      </c>
      <c r="B270" s="17" t="s">
        <v>9</v>
      </c>
      <c r="C270" s="331">
        <v>6</v>
      </c>
      <c r="D270" s="83">
        <v>26.19</v>
      </c>
      <c r="E270" s="18">
        <f t="shared" si="7"/>
        <v>4.3650000000000002</v>
      </c>
      <c r="F270" s="54"/>
    </row>
    <row r="271" spans="1:6" x14ac:dyDescent="0.2">
      <c r="A271" s="287" t="s">
        <v>54</v>
      </c>
      <c r="B271" s="17" t="s">
        <v>55</v>
      </c>
      <c r="C271" s="331">
        <v>12</v>
      </c>
      <c r="D271" s="83">
        <v>400</v>
      </c>
      <c r="E271" s="18">
        <f t="shared" si="7"/>
        <v>33.333333333333336</v>
      </c>
      <c r="F271" s="54"/>
    </row>
    <row r="272" spans="1:6" x14ac:dyDescent="0.2">
      <c r="A272" s="16" t="s">
        <v>57</v>
      </c>
      <c r="B272" s="17" t="s">
        <v>55</v>
      </c>
      <c r="C272" s="331">
        <v>12</v>
      </c>
      <c r="D272" s="83">
        <v>400</v>
      </c>
      <c r="E272" s="18">
        <f t="shared" si="7"/>
        <v>33.333333333333336</v>
      </c>
      <c r="F272" s="54"/>
    </row>
    <row r="273" spans="1:6" ht="13.5" thickBot="1" x14ac:dyDescent="0.25">
      <c r="A273" s="96" t="s">
        <v>254</v>
      </c>
      <c r="B273" s="97" t="s">
        <v>9</v>
      </c>
      <c r="C273" s="80">
        <f>C201</f>
        <v>1.1000000000000001</v>
      </c>
      <c r="D273" s="98">
        <f>SUM(E268:E272)</f>
        <v>82.018333333333345</v>
      </c>
      <c r="E273" s="98">
        <f>C273*D273</f>
        <v>90.220166666666685</v>
      </c>
      <c r="F273" s="54"/>
    </row>
    <row r="274" spans="1:6" ht="13.5" thickBot="1" x14ac:dyDescent="0.25">
      <c r="A274" s="34"/>
      <c r="B274" s="34"/>
      <c r="C274" s="34"/>
      <c r="D274" s="34"/>
      <c r="E274" s="35"/>
      <c r="F274" s="21">
        <f>E273</f>
        <v>90.220166666666685</v>
      </c>
    </row>
    <row r="275" spans="1:6" ht="11.25" customHeight="1" thickBot="1" x14ac:dyDescent="0.25"/>
    <row r="276" spans="1:6" ht="13.5" thickBot="1" x14ac:dyDescent="0.25">
      <c r="A276" s="24" t="s">
        <v>226</v>
      </c>
      <c r="B276" s="25"/>
      <c r="C276" s="25"/>
      <c r="D276" s="26"/>
      <c r="E276" s="27"/>
      <c r="F276" s="21">
        <f>+F274</f>
        <v>90.220166666666685</v>
      </c>
    </row>
    <row r="277" spans="1:6" hidden="1" x14ac:dyDescent="0.2">
      <c r="A277" s="34" t="s">
        <v>73</v>
      </c>
      <c r="B277" s="34"/>
      <c r="C277" s="34"/>
      <c r="D277" s="35"/>
      <c r="E277" s="35"/>
      <c r="F277" s="33"/>
    </row>
    <row r="278" spans="1:6" ht="11.25" hidden="1" customHeight="1" thickBot="1" x14ac:dyDescent="0.25"/>
    <row r="279" spans="1:6" ht="13.5" hidden="1" thickBot="1" x14ac:dyDescent="0.25">
      <c r="A279" s="57" t="s">
        <v>61</v>
      </c>
      <c r="B279" s="58" t="s">
        <v>62</v>
      </c>
      <c r="C279" s="58" t="s">
        <v>37</v>
      </c>
      <c r="D279" s="59" t="s">
        <v>234</v>
      </c>
      <c r="E279" s="59" t="s">
        <v>63</v>
      </c>
      <c r="F279" s="60" t="s">
        <v>64</v>
      </c>
    </row>
    <row r="280" spans="1:6" hidden="1" x14ac:dyDescent="0.2">
      <c r="A280" s="16" t="s">
        <v>223</v>
      </c>
      <c r="B280" s="52" t="s">
        <v>55</v>
      </c>
      <c r="C280" s="66">
        <f>C190</f>
        <v>1</v>
      </c>
      <c r="D280" s="85"/>
      <c r="E280" s="18">
        <f>+D280*C280</f>
        <v>0</v>
      </c>
      <c r="F280" s="54"/>
    </row>
    <row r="281" spans="1:6" hidden="1" x14ac:dyDescent="0.2">
      <c r="A281" s="16" t="s">
        <v>58</v>
      </c>
      <c r="B281" s="52" t="s">
        <v>7</v>
      </c>
      <c r="C281" s="145">
        <v>60</v>
      </c>
      <c r="D281" s="77">
        <f>SUM(E280:E280)</f>
        <v>0</v>
      </c>
      <c r="E281" s="77">
        <f>+D281/C281</f>
        <v>0</v>
      </c>
      <c r="F281" s="54"/>
    </row>
    <row r="282" spans="1:6" hidden="1" x14ac:dyDescent="0.2">
      <c r="A282" s="16" t="s">
        <v>224</v>
      </c>
      <c r="B282" s="17" t="s">
        <v>9</v>
      </c>
      <c r="C282" s="18">
        <v>0</v>
      </c>
      <c r="D282" s="85">
        <v>89.9</v>
      </c>
      <c r="E282" s="18">
        <f>C282*D282</f>
        <v>0</v>
      </c>
      <c r="F282" s="54"/>
    </row>
    <row r="283" spans="1:6" ht="13.5" hidden="1" thickBot="1" x14ac:dyDescent="0.25">
      <c r="A283" s="16" t="s">
        <v>34</v>
      </c>
      <c r="B283" s="52" t="s">
        <v>7</v>
      </c>
      <c r="C283" s="145">
        <v>1</v>
      </c>
      <c r="D283" s="77">
        <f>+E282</f>
        <v>0</v>
      </c>
      <c r="E283" s="77">
        <f>+D283/C283</f>
        <v>0</v>
      </c>
      <c r="F283" s="54"/>
    </row>
    <row r="284" spans="1:6" ht="13.5" hidden="1" thickBot="1" x14ac:dyDescent="0.25">
      <c r="A284" s="78"/>
      <c r="B284" s="78"/>
      <c r="C284" s="78"/>
      <c r="D284" s="115" t="s">
        <v>192</v>
      </c>
      <c r="E284" s="50">
        <f>E202</f>
        <v>0.20454545454545456</v>
      </c>
      <c r="F284" s="79">
        <f>(E281+E283)*E284</f>
        <v>0</v>
      </c>
    </row>
    <row r="285" spans="1:6" s="51" customFormat="1" ht="11.25" hidden="1" customHeight="1" thickBot="1" x14ac:dyDescent="0.25">
      <c r="A285" s="9"/>
      <c r="B285" s="9"/>
      <c r="C285" s="9"/>
      <c r="D285" s="10"/>
      <c r="E285" s="10"/>
      <c r="F285" s="10"/>
    </row>
    <row r="286" spans="1:6" ht="13.5" hidden="1" thickBot="1" x14ac:dyDescent="0.25">
      <c r="A286" s="24" t="s">
        <v>222</v>
      </c>
      <c r="B286" s="25"/>
      <c r="C286" s="25"/>
      <c r="D286" s="26"/>
      <c r="E286" s="27"/>
      <c r="F286" s="21">
        <f>+F284</f>
        <v>0</v>
      </c>
    </row>
    <row r="287" spans="1:6" hidden="1" x14ac:dyDescent="0.2">
      <c r="A287" s="34"/>
      <c r="B287" s="34"/>
      <c r="C287" s="34"/>
      <c r="D287" s="35"/>
      <c r="E287" s="35"/>
    </row>
    <row r="288" spans="1:6" hidden="1" x14ac:dyDescent="0.2">
      <c r="A288" s="11" t="s">
        <v>362</v>
      </c>
    </row>
    <row r="289" spans="1:6" ht="13.5" hidden="1" thickBot="1" x14ac:dyDescent="0.25">
      <c r="A289" s="7"/>
    </row>
    <row r="290" spans="1:6" ht="13.5" hidden="1" thickBot="1" x14ac:dyDescent="0.25">
      <c r="A290" s="57" t="s">
        <v>61</v>
      </c>
      <c r="B290" s="58" t="s">
        <v>62</v>
      </c>
      <c r="C290" s="58" t="s">
        <v>37</v>
      </c>
      <c r="D290" s="59" t="s">
        <v>234</v>
      </c>
      <c r="E290" s="59" t="s">
        <v>63</v>
      </c>
      <c r="F290" s="60" t="s">
        <v>64</v>
      </c>
    </row>
    <row r="291" spans="1:6" hidden="1" x14ac:dyDescent="0.2">
      <c r="A291" s="291" t="s">
        <v>363</v>
      </c>
      <c r="B291" s="14" t="s">
        <v>115</v>
      </c>
      <c r="C291" s="89">
        <v>0</v>
      </c>
      <c r="D291" s="83">
        <v>1.22</v>
      </c>
      <c r="E291" s="15">
        <f>C291*D291</f>
        <v>0</v>
      </c>
    </row>
    <row r="292" spans="1:6" hidden="1" x14ac:dyDescent="0.2">
      <c r="A292" s="291" t="s">
        <v>373</v>
      </c>
      <c r="B292" s="292" t="s">
        <v>364</v>
      </c>
      <c r="C292" s="145">
        <v>0</v>
      </c>
      <c r="D292" s="83">
        <v>1000</v>
      </c>
      <c r="E292" s="15">
        <f>C292*D292</f>
        <v>0</v>
      </c>
    </row>
    <row r="293" spans="1:6" ht="13.5" hidden="1" thickBot="1" x14ac:dyDescent="0.25">
      <c r="A293" s="287" t="s">
        <v>372</v>
      </c>
      <c r="B293" s="52" t="s">
        <v>364</v>
      </c>
      <c r="C293" s="145">
        <v>0</v>
      </c>
      <c r="D293" s="83">
        <v>2500</v>
      </c>
      <c r="E293" s="15">
        <f>C293*D293</f>
        <v>0</v>
      </c>
      <c r="F293" s="54"/>
    </row>
    <row r="294" spans="1:6" ht="13.5" hidden="1" thickBot="1" x14ac:dyDescent="0.25">
      <c r="A294" s="78"/>
      <c r="B294" s="78"/>
      <c r="C294" s="78"/>
      <c r="D294" s="115" t="s">
        <v>192</v>
      </c>
      <c r="E294" s="50">
        <f>E284</f>
        <v>0.20454545454545456</v>
      </c>
      <c r="F294" s="79">
        <f>SUM(E291:E293)</f>
        <v>0</v>
      </c>
    </row>
    <row r="295" spans="1:6" ht="11.25" customHeight="1" thickBot="1" x14ac:dyDescent="0.25"/>
    <row r="296" spans="1:6" ht="17.25" customHeight="1" thickBot="1" x14ac:dyDescent="0.25">
      <c r="A296" s="24" t="s">
        <v>227</v>
      </c>
      <c r="B296" s="28"/>
      <c r="C296" s="28"/>
      <c r="D296" s="29"/>
      <c r="E296" s="30"/>
      <c r="F296" s="22">
        <f>+F147+F182+F263+F276+F286+F294</f>
        <v>5643.6486803209564</v>
      </c>
    </row>
    <row r="297" spans="1:6" ht="11.25" customHeight="1" x14ac:dyDescent="0.2"/>
    <row r="298" spans="1:6" x14ac:dyDescent="0.2">
      <c r="A298" s="11" t="s">
        <v>365</v>
      </c>
    </row>
    <row r="299" spans="1:6" ht="11.25" customHeight="1" thickBot="1" x14ac:dyDescent="0.25"/>
    <row r="300" spans="1:6" ht="13.5" thickBot="1" x14ac:dyDescent="0.25">
      <c r="A300" s="57" t="s">
        <v>61</v>
      </c>
      <c r="B300" s="58" t="s">
        <v>62</v>
      </c>
      <c r="C300" s="58" t="s">
        <v>37</v>
      </c>
      <c r="D300" s="59" t="s">
        <v>234</v>
      </c>
      <c r="E300" s="59" t="s">
        <v>63</v>
      </c>
      <c r="F300" s="60" t="s">
        <v>64</v>
      </c>
    </row>
    <row r="301" spans="1:6" ht="13.5" thickBot="1" x14ac:dyDescent="0.25">
      <c r="A301" s="13" t="s">
        <v>33</v>
      </c>
      <c r="B301" s="14" t="s">
        <v>1</v>
      </c>
      <c r="C301" s="131">
        <f>'5.BDI'!C18*100</f>
        <v>23.880000000000003</v>
      </c>
      <c r="D301" s="15">
        <f>+F296</f>
        <v>5643.6486803209564</v>
      </c>
      <c r="E301" s="15">
        <f>C301*D301/100</f>
        <v>1347.7033048606445</v>
      </c>
    </row>
    <row r="302" spans="1:6" ht="13.5" thickBot="1" x14ac:dyDescent="0.25">
      <c r="F302" s="21">
        <f>+E301</f>
        <v>1347.7033048606445</v>
      </c>
    </row>
    <row r="303" spans="1:6" ht="11.25" customHeight="1" thickBot="1" x14ac:dyDescent="0.25"/>
    <row r="304" spans="1:6" ht="13.5" thickBot="1" x14ac:dyDescent="0.25">
      <c r="A304" s="24" t="s">
        <v>238</v>
      </c>
      <c r="B304" s="28"/>
      <c r="C304" s="28"/>
      <c r="D304" s="29"/>
      <c r="E304" s="30"/>
      <c r="F304" s="22">
        <f>F302</f>
        <v>1347.7033048606445</v>
      </c>
    </row>
    <row r="305" spans="1:6" ht="11.25" customHeight="1" thickBot="1" x14ac:dyDescent="0.25"/>
    <row r="306" spans="1:6" ht="24.75" customHeight="1" thickBot="1" x14ac:dyDescent="0.25">
      <c r="A306" s="24" t="s">
        <v>228</v>
      </c>
      <c r="B306" s="28"/>
      <c r="C306" s="28"/>
      <c r="D306" s="29"/>
      <c r="E306" s="30"/>
      <c r="F306" s="22">
        <f>F296+F304</f>
        <v>6991.3519851816009</v>
      </c>
    </row>
    <row r="307" spans="1:6" ht="14.25" hidden="1" x14ac:dyDescent="0.2">
      <c r="A307" s="8"/>
      <c r="B307" s="8"/>
      <c r="C307" s="8"/>
      <c r="D307" s="36"/>
      <c r="E307" s="36"/>
    </row>
    <row r="308" spans="1:6" ht="16.149999999999999" hidden="1" customHeight="1" x14ac:dyDescent="0.2">
      <c r="A308" s="241" t="s">
        <v>221</v>
      </c>
      <c r="B308" s="242"/>
      <c r="C308" s="242"/>
      <c r="D308" s="243"/>
      <c r="E308" s="244" t="s">
        <v>24</v>
      </c>
    </row>
    <row r="309" spans="1:6" ht="13.5" hidden="1" thickBot="1" x14ac:dyDescent="0.25"/>
    <row r="310" spans="1:6" ht="25.5" hidden="1" customHeight="1" thickBot="1" x14ac:dyDescent="0.25">
      <c r="A310" s="24" t="s">
        <v>67</v>
      </c>
      <c r="B310" s="25"/>
      <c r="C310" s="25"/>
      <c r="D310" s="26"/>
      <c r="E310" s="245" t="s">
        <v>31</v>
      </c>
      <c r="F310" s="246" t="str">
        <f>IFERROR(F306/D308,"-")</f>
        <v>-</v>
      </c>
    </row>
    <row r="311" spans="1:6" ht="12.6" hidden="1" customHeight="1" x14ac:dyDescent="0.2">
      <c r="A311" s="34"/>
      <c r="B311" s="34"/>
      <c r="C311" s="34"/>
      <c r="D311" s="35"/>
      <c r="E311" s="35"/>
      <c r="F311" s="35"/>
    </row>
    <row r="312" spans="1:6" s="4" customFormat="1" ht="9.75" customHeight="1" x14ac:dyDescent="0.2">
      <c r="A312" s="39"/>
      <c r="B312" s="10"/>
      <c r="C312" s="10"/>
      <c r="D312" s="10"/>
      <c r="E312" s="10"/>
      <c r="F312" s="10"/>
    </row>
    <row r="313" spans="1:6" s="4" customFormat="1" ht="9.75" customHeight="1" x14ac:dyDescent="0.2">
      <c r="A313" s="39"/>
      <c r="B313" s="10"/>
      <c r="C313" s="10"/>
      <c r="D313" s="10"/>
      <c r="E313" s="10"/>
      <c r="F313" s="10"/>
    </row>
    <row r="314" spans="1:6" s="4" customFormat="1" ht="9.75" customHeight="1" x14ac:dyDescent="0.2">
      <c r="A314" s="39"/>
      <c r="B314" s="10"/>
      <c r="C314" s="10"/>
      <c r="D314" s="10"/>
      <c r="E314" s="10"/>
      <c r="F314" s="10"/>
    </row>
    <row r="344" spans="4:6" ht="9" customHeight="1" x14ac:dyDescent="0.2">
      <c r="D344" s="9"/>
      <c r="E344" s="9"/>
      <c r="F344" s="9"/>
    </row>
  </sheetData>
  <mergeCells count="7">
    <mergeCell ref="A45:D45"/>
    <mergeCell ref="A6:F6"/>
    <mergeCell ref="A7:F7"/>
    <mergeCell ref="A9:F9"/>
    <mergeCell ref="A21:C21"/>
    <mergeCell ref="A36:E36"/>
    <mergeCell ref="A37:D37"/>
  </mergeCells>
  <hyperlinks>
    <hyperlink ref="A204" location="AbaRemun" display="3.1.2. Remuneração do Capital"/>
    <hyperlink ref="A188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2" fitToHeight="3" orientation="portrait" verticalDpi="300" r:id="rId1"/>
  <headerFooter alignWithMargins="0">
    <oddFooter>&amp;R&amp;P de &amp;N</oddFooter>
  </headerFooter>
  <rowBreaks count="1" manualBreakCount="1">
    <brk id="148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ColWidth="9.140625" defaultRowHeight="12.75" x14ac:dyDescent="0.2"/>
  <cols>
    <col min="1" max="1" width="7.7109375" style="1" customWidth="1"/>
    <col min="2" max="2" width="37.5703125" style="1" customWidth="1"/>
    <col min="3" max="3" width="18.7109375" style="1" customWidth="1"/>
    <col min="4" max="4" width="37.28515625" style="148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1" t="s">
        <v>200</v>
      </c>
    </row>
    <row r="2" spans="1:12" x14ac:dyDescent="0.2">
      <c r="A2" s="130" t="s">
        <v>245</v>
      </c>
    </row>
    <row r="3" spans="1:12" ht="13.5" thickBot="1" x14ac:dyDescent="0.25">
      <c r="A3" s="101" t="s">
        <v>416</v>
      </c>
    </row>
    <row r="4" spans="1:12" ht="18" x14ac:dyDescent="0.2">
      <c r="A4" s="401" t="s">
        <v>231</v>
      </c>
      <c r="B4" s="402"/>
      <c r="C4" s="403"/>
      <c r="D4" s="140"/>
      <c r="E4" s="140"/>
      <c r="F4" s="140"/>
    </row>
    <row r="5" spans="1:12" ht="14.25" x14ac:dyDescent="0.2">
      <c r="A5" s="161" t="s">
        <v>137</v>
      </c>
      <c r="B5" s="162" t="s">
        <v>138</v>
      </c>
      <c r="C5" s="163" t="s">
        <v>139</v>
      </c>
      <c r="D5" s="164"/>
    </row>
    <row r="6" spans="1:12" ht="14.25" x14ac:dyDescent="0.2">
      <c r="A6" s="161" t="s">
        <v>140</v>
      </c>
      <c r="B6" s="162" t="s">
        <v>38</v>
      </c>
      <c r="C6" s="165">
        <v>0.2</v>
      </c>
      <c r="D6" s="164"/>
      <c r="F6" s="148"/>
      <c r="G6" s="148"/>
      <c r="H6" s="148"/>
      <c r="I6" s="148"/>
      <c r="J6" s="148"/>
      <c r="K6" s="148"/>
      <c r="L6" s="148"/>
    </row>
    <row r="7" spans="1:12" ht="14.25" x14ac:dyDescent="0.2">
      <c r="A7" s="161" t="s">
        <v>141</v>
      </c>
      <c r="B7" s="162" t="s">
        <v>142</v>
      </c>
      <c r="C7" s="165">
        <v>1.4999999999999999E-2</v>
      </c>
      <c r="D7" s="164"/>
      <c r="F7" s="148"/>
      <c r="G7" s="148"/>
      <c r="H7" s="148"/>
      <c r="I7" s="148"/>
      <c r="J7" s="148"/>
      <c r="K7" s="148"/>
      <c r="L7" s="148"/>
    </row>
    <row r="8" spans="1:12" ht="14.25" x14ac:dyDescent="0.2">
      <c r="A8" s="161" t="s">
        <v>143</v>
      </c>
      <c r="B8" s="162" t="s">
        <v>144</v>
      </c>
      <c r="C8" s="165">
        <v>0.01</v>
      </c>
      <c r="D8" s="164"/>
      <c r="F8" s="148"/>
      <c r="G8" s="148"/>
      <c r="H8" s="148"/>
      <c r="I8" s="148"/>
      <c r="J8" s="148"/>
      <c r="K8" s="148"/>
      <c r="L8" s="148"/>
    </row>
    <row r="9" spans="1:12" ht="14.25" x14ac:dyDescent="0.2">
      <c r="A9" s="161" t="s">
        <v>145</v>
      </c>
      <c r="B9" s="162" t="s">
        <v>146</v>
      </c>
      <c r="C9" s="165">
        <v>2E-3</v>
      </c>
      <c r="D9" s="164"/>
      <c r="F9" s="148"/>
      <c r="G9" s="148"/>
      <c r="H9" s="148"/>
      <c r="I9" s="148"/>
      <c r="J9" s="148"/>
      <c r="K9" s="148"/>
      <c r="L9" s="148"/>
    </row>
    <row r="10" spans="1:12" ht="14.25" x14ac:dyDescent="0.2">
      <c r="A10" s="161" t="s">
        <v>147</v>
      </c>
      <c r="B10" s="162" t="s">
        <v>148</v>
      </c>
      <c r="C10" s="165">
        <v>6.0000000000000001E-3</v>
      </c>
      <c r="D10" s="164"/>
      <c r="F10" s="148"/>
      <c r="G10" s="148"/>
      <c r="H10" s="148"/>
      <c r="I10" s="148"/>
      <c r="J10" s="148"/>
      <c r="K10" s="148"/>
      <c r="L10" s="148"/>
    </row>
    <row r="11" spans="1:12" ht="14.25" x14ac:dyDescent="0.2">
      <c r="A11" s="161" t="s">
        <v>149</v>
      </c>
      <c r="B11" s="162" t="s">
        <v>150</v>
      </c>
      <c r="C11" s="165">
        <v>2.5000000000000001E-2</v>
      </c>
      <c r="D11" s="164"/>
      <c r="F11" s="148"/>
      <c r="G11" s="148"/>
      <c r="H11" s="148"/>
      <c r="I11" s="148"/>
      <c r="J11" s="148"/>
      <c r="K11" s="148"/>
      <c r="L11" s="148"/>
    </row>
    <row r="12" spans="1:12" ht="14.25" x14ac:dyDescent="0.2">
      <c r="A12" s="161" t="s">
        <v>151</v>
      </c>
      <c r="B12" s="162" t="s">
        <v>152</v>
      </c>
      <c r="C12" s="165">
        <v>0.03</v>
      </c>
      <c r="D12" s="164"/>
      <c r="F12" s="148"/>
      <c r="G12" s="148"/>
      <c r="H12" s="148"/>
      <c r="I12" s="148"/>
      <c r="J12" s="148"/>
      <c r="K12" s="148"/>
      <c r="L12" s="148"/>
    </row>
    <row r="13" spans="1:12" ht="14.25" x14ac:dyDescent="0.2">
      <c r="A13" s="161" t="s">
        <v>153</v>
      </c>
      <c r="B13" s="162" t="s">
        <v>39</v>
      </c>
      <c r="C13" s="165">
        <v>0.08</v>
      </c>
      <c r="D13" s="166"/>
      <c r="F13" s="148"/>
      <c r="G13" s="148"/>
      <c r="H13" s="148"/>
      <c r="I13" s="148"/>
      <c r="J13" s="148"/>
      <c r="K13" s="148"/>
      <c r="L13" s="148"/>
    </row>
    <row r="14" spans="1:12" ht="15" x14ac:dyDescent="0.2">
      <c r="A14" s="161" t="s">
        <v>154</v>
      </c>
      <c r="B14" s="167" t="s">
        <v>155</v>
      </c>
      <c r="C14" s="168">
        <f>SUM(C6:C13)</f>
        <v>0.36800000000000005</v>
      </c>
      <c r="D14" s="166"/>
      <c r="F14" s="148"/>
      <c r="G14" s="148"/>
      <c r="H14" s="148"/>
      <c r="I14" s="148"/>
      <c r="J14" s="148"/>
      <c r="K14" s="148"/>
      <c r="L14" s="148"/>
    </row>
    <row r="15" spans="1:12" ht="15" x14ac:dyDescent="0.2">
      <c r="A15" s="169"/>
      <c r="B15" s="170"/>
      <c r="C15" s="171"/>
      <c r="D15" s="166"/>
      <c r="F15" s="148"/>
      <c r="G15" s="148"/>
      <c r="H15" s="148"/>
      <c r="I15" s="148"/>
      <c r="J15" s="148"/>
      <c r="K15" s="148"/>
      <c r="L15" s="148"/>
    </row>
    <row r="16" spans="1:12" ht="14.25" x14ac:dyDescent="0.2">
      <c r="A16" s="161" t="s">
        <v>156</v>
      </c>
      <c r="B16" s="172" t="s">
        <v>157</v>
      </c>
      <c r="C16" s="165">
        <f>ROUND(IF('4.CAGED'!C39&gt;24,(1-12/'4.CAGED'!C39)*0.1111,0.1111-C25),4)</f>
        <v>5.74E-2</v>
      </c>
      <c r="D16" s="166"/>
      <c r="F16" s="148"/>
      <c r="G16" s="148"/>
      <c r="H16" s="148"/>
      <c r="I16" s="148"/>
      <c r="J16" s="148"/>
      <c r="K16" s="148"/>
      <c r="L16" s="148"/>
    </row>
    <row r="17" spans="1:12" ht="14.25" x14ac:dyDescent="0.2">
      <c r="A17" s="161" t="s">
        <v>158</v>
      </c>
      <c r="B17" s="172" t="s">
        <v>159</v>
      </c>
      <c r="C17" s="165">
        <f>ROUND('4.CAGED'!C33/'4.CAGED'!C30,4)</f>
        <v>8.3299999999999999E-2</v>
      </c>
      <c r="D17" s="166"/>
      <c r="F17" s="148"/>
      <c r="G17" s="148"/>
      <c r="H17" s="148"/>
      <c r="I17" s="148"/>
      <c r="J17" s="148"/>
      <c r="K17" s="148"/>
      <c r="L17" s="148"/>
    </row>
    <row r="18" spans="1:12" ht="14.25" x14ac:dyDescent="0.2">
      <c r="A18" s="161" t="s">
        <v>220</v>
      </c>
      <c r="B18" s="172" t="s">
        <v>161</v>
      </c>
      <c r="C18" s="165">
        <v>5.9999999999999995E-4</v>
      </c>
      <c r="D18" s="166"/>
      <c r="F18" s="148"/>
      <c r="G18" s="148"/>
      <c r="H18" s="148"/>
      <c r="I18" s="148"/>
      <c r="J18" s="148"/>
      <c r="K18" s="148"/>
      <c r="L18" s="148"/>
    </row>
    <row r="19" spans="1:12" ht="14.25" x14ac:dyDescent="0.2">
      <c r="A19" s="161" t="s">
        <v>160</v>
      </c>
      <c r="B19" s="172" t="s">
        <v>163</v>
      </c>
      <c r="C19" s="165">
        <v>8.2000000000000007E-3</v>
      </c>
      <c r="D19" s="166"/>
      <c r="F19" s="148"/>
      <c r="G19" s="148"/>
      <c r="H19" s="148"/>
      <c r="I19" s="148"/>
      <c r="J19" s="148"/>
      <c r="K19" s="148"/>
      <c r="L19" s="148"/>
    </row>
    <row r="20" spans="1:12" ht="14.25" x14ac:dyDescent="0.2">
      <c r="A20" s="161" t="s">
        <v>162</v>
      </c>
      <c r="B20" s="172" t="s">
        <v>165</v>
      </c>
      <c r="C20" s="165">
        <v>3.0999999999999999E-3</v>
      </c>
      <c r="D20" s="166"/>
      <c r="F20" s="148"/>
      <c r="G20" s="148"/>
      <c r="H20" s="148"/>
      <c r="I20" s="148"/>
      <c r="J20" s="148"/>
      <c r="K20" s="148"/>
      <c r="L20" s="148"/>
    </row>
    <row r="21" spans="1:12" ht="14.25" x14ac:dyDescent="0.2">
      <c r="A21" s="161" t="s">
        <v>164</v>
      </c>
      <c r="B21" s="172" t="s">
        <v>166</v>
      </c>
      <c r="C21" s="165">
        <v>1.66E-2</v>
      </c>
      <c r="D21" s="166"/>
      <c r="F21" s="148"/>
      <c r="G21" s="148"/>
      <c r="H21" s="148"/>
      <c r="I21" s="148"/>
      <c r="J21" s="148"/>
      <c r="K21" s="148"/>
      <c r="L21" s="148"/>
    </row>
    <row r="22" spans="1:12" ht="15" x14ac:dyDescent="0.2">
      <c r="A22" s="161" t="s">
        <v>167</v>
      </c>
      <c r="B22" s="167" t="s">
        <v>168</v>
      </c>
      <c r="C22" s="168">
        <f>SUM(C16:C21)</f>
        <v>0.16919999999999999</v>
      </c>
      <c r="D22" s="173"/>
      <c r="F22" s="148"/>
      <c r="G22" s="148"/>
      <c r="H22" s="148"/>
      <c r="I22" s="148"/>
      <c r="J22" s="148"/>
      <c r="K22" s="148"/>
      <c r="L22" s="148"/>
    </row>
    <row r="23" spans="1:12" ht="15" x14ac:dyDescent="0.2">
      <c r="A23" s="169"/>
      <c r="B23" s="170"/>
      <c r="C23" s="171"/>
      <c r="D23" s="173"/>
      <c r="F23" s="148"/>
      <c r="G23" s="148"/>
      <c r="H23" s="148"/>
      <c r="I23" s="148"/>
      <c r="J23" s="148"/>
      <c r="K23" s="148"/>
      <c r="L23" s="148"/>
    </row>
    <row r="24" spans="1:12" ht="14.25" x14ac:dyDescent="0.2">
      <c r="A24" s="161" t="s">
        <v>169</v>
      </c>
      <c r="B24" s="162" t="s">
        <v>170</v>
      </c>
      <c r="C24" s="165">
        <f>ROUND(('4.CAGED'!C38) *'4.CAGED'!C29/'4.CAGED'!C30,4)</f>
        <v>3.9E-2</v>
      </c>
      <c r="D24" s="166"/>
      <c r="E24" s="174"/>
      <c r="F24" s="148"/>
      <c r="G24" s="148"/>
      <c r="H24" s="148"/>
      <c r="I24" s="148"/>
      <c r="J24" s="148"/>
      <c r="K24" s="148"/>
      <c r="L24" s="148"/>
    </row>
    <row r="25" spans="1:12" ht="14.25" x14ac:dyDescent="0.2">
      <c r="A25" s="161" t="s">
        <v>219</v>
      </c>
      <c r="B25" s="162" t="s">
        <v>172</v>
      </c>
      <c r="C25" s="165">
        <f>ROUND(IF('4.CAGED'!C39&gt;12,12/'4.CAGED'!C39*0.1111,0.1111),4)</f>
        <v>5.3699999999999998E-2</v>
      </c>
      <c r="D25" s="166"/>
      <c r="F25" s="148"/>
      <c r="G25" s="148"/>
      <c r="H25" s="175"/>
      <c r="I25" s="148"/>
      <c r="J25" s="148"/>
      <c r="K25" s="148"/>
      <c r="L25" s="148"/>
    </row>
    <row r="26" spans="1:12" ht="14.25" x14ac:dyDescent="0.2">
      <c r="A26" s="161" t="s">
        <v>171</v>
      </c>
      <c r="B26" s="162" t="s">
        <v>174</v>
      </c>
      <c r="C26" s="165">
        <f>ROUND(('4.CAGED'!C32+'4.CAGED'!C31)/360*C24,4)</f>
        <v>4.3E-3</v>
      </c>
      <c r="D26" s="166"/>
      <c r="F26" s="148"/>
      <c r="G26" s="148"/>
      <c r="H26" s="148"/>
      <c r="I26" s="148"/>
      <c r="J26" s="148"/>
      <c r="K26" s="148"/>
      <c r="L26" s="148"/>
    </row>
    <row r="27" spans="1:12" ht="14.25" x14ac:dyDescent="0.2">
      <c r="A27" s="161" t="s">
        <v>173</v>
      </c>
      <c r="B27" s="162" t="s">
        <v>176</v>
      </c>
      <c r="C27" s="165">
        <f>ROUND(('4.CAGED'!C30+'4.CAGED'!C31+'4.CAGED'!C33)/'4.CAGED'!C28*'4.CAGED'!C35*'4.CAGED'!C36*'4.CAGED'!C29/'4.CAGED'!C30,4)</f>
        <v>3.5900000000000001E-2</v>
      </c>
      <c r="D27" s="166"/>
      <c r="F27" s="148"/>
      <c r="G27" s="176"/>
      <c r="H27" s="148"/>
      <c r="I27" s="148"/>
      <c r="J27" s="148"/>
      <c r="K27" s="148"/>
      <c r="L27" s="148"/>
    </row>
    <row r="28" spans="1:12" ht="14.25" x14ac:dyDescent="0.2">
      <c r="A28" s="161" t="s">
        <v>175</v>
      </c>
      <c r="B28" s="162" t="s">
        <v>177</v>
      </c>
      <c r="C28" s="165">
        <f>ROUND(('4.CAGED'!C32/'4.CAGED'!C30)*'4.CAGED'!C29/12,4)</f>
        <v>2.7000000000000001E-3</v>
      </c>
      <c r="D28" s="166"/>
      <c r="F28" s="148"/>
      <c r="G28" s="148"/>
      <c r="H28" s="148"/>
      <c r="I28" s="148"/>
      <c r="J28" s="148"/>
      <c r="K28" s="148"/>
      <c r="L28" s="148"/>
    </row>
    <row r="29" spans="1:12" ht="15" x14ac:dyDescent="0.2">
      <c r="A29" s="161" t="s">
        <v>178</v>
      </c>
      <c r="B29" s="167" t="s">
        <v>179</v>
      </c>
      <c r="C29" s="168">
        <f>SUM(C24:C28)</f>
        <v>0.13560000000000003</v>
      </c>
      <c r="D29" s="173"/>
      <c r="F29" s="148"/>
      <c r="G29" s="148"/>
      <c r="H29" s="148"/>
      <c r="I29" s="148"/>
      <c r="J29" s="148"/>
      <c r="K29" s="148"/>
      <c r="L29" s="148"/>
    </row>
    <row r="30" spans="1:12" ht="15" x14ac:dyDescent="0.2">
      <c r="A30" s="169"/>
      <c r="B30" s="170"/>
      <c r="C30" s="171"/>
      <c r="D30" s="173"/>
      <c r="F30" s="148"/>
      <c r="G30" s="148"/>
      <c r="H30" s="148"/>
      <c r="I30" s="148"/>
      <c r="J30" s="148"/>
      <c r="K30" s="148"/>
      <c r="L30" s="148"/>
    </row>
    <row r="31" spans="1:12" ht="14.25" x14ac:dyDescent="0.2">
      <c r="A31" s="161" t="s">
        <v>180</v>
      </c>
      <c r="B31" s="162" t="s">
        <v>181</v>
      </c>
      <c r="C31" s="165">
        <f>ROUND(C14*C22,4)</f>
        <v>6.2300000000000001E-2</v>
      </c>
      <c r="D31" s="166"/>
      <c r="F31" s="148"/>
      <c r="G31" s="148"/>
      <c r="H31" s="148"/>
      <c r="I31" s="148"/>
      <c r="J31" s="148"/>
      <c r="K31" s="148"/>
      <c r="L31" s="148"/>
    </row>
    <row r="32" spans="1:12" ht="28.5" x14ac:dyDescent="0.2">
      <c r="A32" s="161" t="s">
        <v>182</v>
      </c>
      <c r="B32" s="177" t="s">
        <v>183</v>
      </c>
      <c r="C32" s="165">
        <f>ROUND((C24*C14),4)</f>
        <v>1.44E-2</v>
      </c>
      <c r="D32" s="166"/>
      <c r="F32" s="148"/>
      <c r="G32" s="148"/>
      <c r="H32" s="148"/>
      <c r="I32" s="148"/>
      <c r="J32" s="148"/>
      <c r="K32" s="148"/>
      <c r="L32" s="148"/>
    </row>
    <row r="33" spans="1:12" ht="15" x14ac:dyDescent="0.2">
      <c r="A33" s="161" t="s">
        <v>184</v>
      </c>
      <c r="B33" s="167" t="s">
        <v>185</v>
      </c>
      <c r="C33" s="168">
        <f>SUM(C31:C32)</f>
        <v>7.6700000000000004E-2</v>
      </c>
      <c r="D33" s="178"/>
      <c r="F33" s="148"/>
      <c r="G33" s="148"/>
      <c r="H33" s="148"/>
      <c r="I33" s="148"/>
      <c r="J33" s="148"/>
      <c r="K33" s="148"/>
      <c r="L33" s="148"/>
    </row>
    <row r="34" spans="1:12" ht="15.75" thickBot="1" x14ac:dyDescent="0.25">
      <c r="A34" s="179"/>
      <c r="B34" s="180" t="s">
        <v>186</v>
      </c>
      <c r="C34" s="181">
        <f>C33+C29+C22+C14</f>
        <v>0.74950000000000006</v>
      </c>
      <c r="D34" s="178"/>
      <c r="F34" s="148"/>
      <c r="G34" s="148"/>
      <c r="H34" s="148"/>
      <c r="I34" s="148"/>
      <c r="J34" s="148"/>
      <c r="K34" s="148"/>
      <c r="L34" s="148"/>
    </row>
    <row r="35" spans="1:12" ht="15" x14ac:dyDescent="0.2">
      <c r="A35" s="166"/>
      <c r="B35" s="182"/>
      <c r="C35" s="183"/>
      <c r="D35" s="184"/>
      <c r="F35" s="148"/>
      <c r="G35" s="148"/>
      <c r="H35" s="148"/>
      <c r="I35" s="148"/>
      <c r="J35" s="148"/>
      <c r="K35" s="148"/>
      <c r="L35" s="148"/>
    </row>
    <row r="36" spans="1:12" ht="14.25" x14ac:dyDescent="0.2">
      <c r="A36" s="166"/>
      <c r="B36" s="166"/>
      <c r="C36" s="185"/>
      <c r="D36" s="186"/>
      <c r="F36" s="148"/>
      <c r="G36" s="148"/>
      <c r="H36" s="148"/>
      <c r="I36" s="148"/>
      <c r="J36" s="148"/>
      <c r="K36" s="148"/>
      <c r="L36" s="148"/>
    </row>
    <row r="37" spans="1:12" ht="14.25" x14ac:dyDescent="0.2">
      <c r="A37" s="164"/>
      <c r="B37" s="164"/>
      <c r="C37" s="187"/>
      <c r="D37" s="164"/>
      <c r="F37" s="148"/>
      <c r="G37" s="148"/>
      <c r="H37" s="148"/>
      <c r="I37" s="148"/>
      <c r="J37" s="148"/>
      <c r="K37" s="148"/>
      <c r="L37" s="148"/>
    </row>
    <row r="38" spans="1:12" ht="14.25" x14ac:dyDescent="0.2">
      <c r="A38" s="164"/>
      <c r="B38" s="164"/>
      <c r="C38" s="187"/>
      <c r="D38" s="164"/>
      <c r="F38" s="148"/>
      <c r="G38" s="148"/>
      <c r="H38" s="148"/>
      <c r="I38" s="148"/>
      <c r="J38" s="148"/>
      <c r="K38" s="148"/>
      <c r="L38" s="148"/>
    </row>
    <row r="39" spans="1:12" ht="14.25" x14ac:dyDescent="0.2">
      <c r="A39" s="164"/>
      <c r="B39" s="164"/>
      <c r="C39" s="187"/>
      <c r="D39" s="164"/>
      <c r="F39" s="148"/>
      <c r="G39" s="148"/>
      <c r="H39" s="148"/>
      <c r="I39" s="148"/>
      <c r="J39" s="148"/>
      <c r="K39" s="148"/>
      <c r="L39" s="148"/>
    </row>
    <row r="40" spans="1:12" ht="15" x14ac:dyDescent="0.2">
      <c r="A40" s="164"/>
      <c r="B40" s="188"/>
      <c r="C40" s="189"/>
      <c r="D40" s="164"/>
      <c r="F40" s="148"/>
      <c r="G40" s="148"/>
      <c r="H40" s="148"/>
      <c r="I40" s="148"/>
      <c r="J40" s="148"/>
      <c r="K40" s="148"/>
      <c r="L40" s="148"/>
    </row>
    <row r="41" spans="1:12" ht="15" x14ac:dyDescent="0.2">
      <c r="A41" s="178"/>
      <c r="B41" s="188"/>
      <c r="C41" s="189"/>
      <c r="D41" s="178"/>
      <c r="E41" s="148"/>
      <c r="F41" s="148"/>
      <c r="G41" s="148"/>
      <c r="H41" s="148"/>
      <c r="I41" s="148"/>
      <c r="J41" s="148"/>
      <c r="K41" s="148"/>
      <c r="L41" s="148"/>
    </row>
    <row r="42" spans="1:12" ht="16.5" x14ac:dyDescent="0.2">
      <c r="A42" s="190"/>
      <c r="B42" s="148"/>
      <c r="C42" s="148"/>
      <c r="E42" s="148"/>
      <c r="F42" s="148"/>
      <c r="G42" s="148"/>
      <c r="H42" s="148"/>
      <c r="I42" s="148"/>
      <c r="J42" s="148"/>
      <c r="K42" s="148"/>
      <c r="L42" s="148"/>
    </row>
    <row r="43" spans="1:12" x14ac:dyDescent="0.2">
      <c r="A43" s="191"/>
      <c r="B43" s="192"/>
      <c r="C43" s="192"/>
      <c r="E43" s="148"/>
      <c r="F43" s="148"/>
      <c r="G43" s="148"/>
      <c r="H43" s="148"/>
      <c r="I43" s="148"/>
      <c r="J43" s="148"/>
      <c r="K43" s="148"/>
      <c r="L43" s="148"/>
    </row>
    <row r="44" spans="1:12" ht="14.25" x14ac:dyDescent="0.2">
      <c r="A44" s="164"/>
      <c r="B44" s="193"/>
      <c r="C44" s="192"/>
      <c r="E44" s="148"/>
      <c r="F44" s="148"/>
      <c r="G44" s="148"/>
      <c r="H44" s="148"/>
      <c r="I44" s="148"/>
      <c r="J44" s="148"/>
      <c r="K44" s="148"/>
      <c r="L44" s="148"/>
    </row>
    <row r="45" spans="1:12" ht="14.25" x14ac:dyDescent="0.2">
      <c r="A45" s="164"/>
      <c r="B45" s="193"/>
      <c r="C45" s="164"/>
      <c r="E45" s="148"/>
      <c r="F45" s="148"/>
      <c r="G45" s="148"/>
      <c r="H45" s="148"/>
      <c r="I45" s="148"/>
      <c r="J45" s="148"/>
      <c r="K45" s="148"/>
      <c r="L45" s="148"/>
    </row>
    <row r="46" spans="1:12" ht="14.25" x14ac:dyDescent="0.2">
      <c r="A46" s="164"/>
      <c r="B46" s="187"/>
      <c r="C46" s="192"/>
      <c r="E46" s="148"/>
      <c r="F46" s="148"/>
      <c r="G46" s="148"/>
      <c r="H46" s="148"/>
      <c r="I46" s="148"/>
      <c r="J46" s="148"/>
      <c r="K46" s="148"/>
      <c r="L46" s="148"/>
    </row>
    <row r="47" spans="1:12" ht="14.25" x14ac:dyDescent="0.2">
      <c r="A47" s="164"/>
      <c r="B47" s="193"/>
      <c r="C47" s="164"/>
      <c r="E47" s="148"/>
      <c r="F47" s="148"/>
      <c r="G47" s="148"/>
      <c r="H47" s="148"/>
      <c r="I47" s="148"/>
      <c r="J47" s="148"/>
      <c r="K47" s="148"/>
      <c r="L47" s="148"/>
    </row>
    <row r="48" spans="1:12" ht="14.25" x14ac:dyDescent="0.2">
      <c r="A48" s="164"/>
      <c r="B48" s="187"/>
      <c r="C48" s="192"/>
      <c r="E48" s="148"/>
      <c r="F48" s="148"/>
      <c r="G48" s="148"/>
      <c r="H48" s="148"/>
      <c r="I48" s="148"/>
      <c r="J48" s="148"/>
      <c r="K48" s="148"/>
      <c r="L48" s="148"/>
    </row>
    <row r="49" spans="1:12" ht="14.25" x14ac:dyDescent="0.2">
      <c r="A49" s="164"/>
      <c r="B49" s="193"/>
      <c r="C49" s="164"/>
      <c r="E49" s="148"/>
      <c r="F49" s="148"/>
      <c r="G49" s="148"/>
      <c r="H49" s="148"/>
      <c r="I49" s="148"/>
      <c r="J49" s="148"/>
      <c r="K49" s="148"/>
      <c r="L49" s="148"/>
    </row>
    <row r="50" spans="1:12" ht="14.25" x14ac:dyDescent="0.2">
      <c r="A50" s="164"/>
      <c r="B50" s="187"/>
      <c r="C50" s="192"/>
      <c r="E50" s="148"/>
      <c r="F50" s="148"/>
      <c r="G50" s="148"/>
      <c r="H50" s="148"/>
      <c r="I50" s="148"/>
      <c r="J50" s="148"/>
      <c r="K50" s="148"/>
      <c r="L50" s="148"/>
    </row>
    <row r="51" spans="1:12" ht="14.25" x14ac:dyDescent="0.2">
      <c r="A51" s="164"/>
      <c r="B51" s="193"/>
      <c r="C51" s="164"/>
      <c r="E51" s="148"/>
      <c r="F51" s="148"/>
      <c r="G51" s="148"/>
      <c r="H51" s="148"/>
      <c r="I51" s="148"/>
      <c r="J51" s="148"/>
      <c r="K51" s="148"/>
      <c r="L51" s="148"/>
    </row>
    <row r="52" spans="1:12" ht="14.25" x14ac:dyDescent="0.2">
      <c r="A52" s="164"/>
      <c r="B52" s="187"/>
      <c r="C52" s="192"/>
      <c r="E52" s="148"/>
      <c r="F52" s="148"/>
      <c r="G52" s="148"/>
      <c r="H52" s="148"/>
      <c r="I52" s="148"/>
      <c r="J52" s="148"/>
      <c r="K52" s="148"/>
      <c r="L52" s="148"/>
    </row>
    <row r="53" spans="1:12" ht="16.5" x14ac:dyDescent="0.2">
      <c r="A53" s="190"/>
      <c r="B53" s="148"/>
      <c r="C53" s="148"/>
      <c r="E53" s="148"/>
      <c r="F53" s="148"/>
      <c r="G53" s="148"/>
      <c r="H53" s="148"/>
      <c r="I53" s="148"/>
      <c r="J53" s="148"/>
      <c r="K53" s="148"/>
      <c r="L53" s="148"/>
    </row>
    <row r="54" spans="1:12" x14ac:dyDescent="0.2">
      <c r="A54" s="148"/>
      <c r="B54" s="148"/>
      <c r="C54" s="148"/>
      <c r="E54" s="148"/>
      <c r="F54" s="148"/>
      <c r="G54" s="148"/>
      <c r="H54" s="148"/>
      <c r="I54" s="148"/>
      <c r="J54" s="148"/>
      <c r="K54" s="148"/>
      <c r="L54" s="148"/>
    </row>
    <row r="55" spans="1:12" x14ac:dyDescent="0.2">
      <c r="A55" s="148"/>
      <c r="B55" s="148"/>
      <c r="C55" s="148"/>
      <c r="E55" s="148"/>
      <c r="F55" s="148"/>
      <c r="G55" s="148"/>
      <c r="H55" s="148"/>
      <c r="I55" s="148"/>
      <c r="J55" s="148"/>
      <c r="K55" s="148"/>
      <c r="L55" s="148"/>
    </row>
    <row r="56" spans="1:12" x14ac:dyDescent="0.2">
      <c r="A56" s="194"/>
      <c r="B56" s="148"/>
      <c r="C56" s="148"/>
      <c r="E56" s="148"/>
      <c r="F56" s="148"/>
      <c r="G56" s="148"/>
      <c r="H56" s="148"/>
      <c r="I56" s="148"/>
      <c r="J56" s="148"/>
      <c r="K56" s="148"/>
      <c r="L56" s="148"/>
    </row>
    <row r="57" spans="1:12" x14ac:dyDescent="0.2">
      <c r="A57" s="148"/>
      <c r="B57" s="148"/>
      <c r="C57" s="148"/>
      <c r="E57" s="148"/>
    </row>
    <row r="58" spans="1:12" x14ac:dyDescent="0.2">
      <c r="A58" s="148"/>
      <c r="B58" s="148"/>
      <c r="C58" s="148"/>
      <c r="E58" s="148"/>
    </row>
    <row r="59" spans="1:12" x14ac:dyDescent="0.2">
      <c r="A59" s="148"/>
      <c r="B59" s="148"/>
      <c r="C59" s="148"/>
      <c r="E59" s="148"/>
    </row>
    <row r="60" spans="1:12" x14ac:dyDescent="0.2">
      <c r="A60" s="148"/>
      <c r="B60" s="148"/>
      <c r="C60" s="148"/>
      <c r="E60" s="148"/>
    </row>
    <row r="61" spans="1:12" x14ac:dyDescent="0.2">
      <c r="A61" s="148"/>
      <c r="B61" s="148"/>
      <c r="C61" s="148"/>
      <c r="E61" s="148"/>
    </row>
    <row r="62" spans="1:12" x14ac:dyDescent="0.2">
      <c r="A62" s="148"/>
      <c r="B62" s="148"/>
      <c r="C62" s="148"/>
      <c r="E62" s="148"/>
    </row>
    <row r="63" spans="1:12" x14ac:dyDescent="0.2">
      <c r="A63" s="148"/>
      <c r="B63" s="148"/>
      <c r="C63" s="148"/>
      <c r="E63" s="148"/>
    </row>
    <row r="64" spans="1:12" x14ac:dyDescent="0.2">
      <c r="A64" s="148"/>
      <c r="B64" s="148"/>
      <c r="C64" s="148"/>
      <c r="E64" s="148"/>
    </row>
    <row r="65" spans="1:5" x14ac:dyDescent="0.2">
      <c r="A65" s="148"/>
      <c r="B65" s="148"/>
      <c r="C65" s="148"/>
      <c r="E65" s="148"/>
    </row>
  </sheetData>
  <mergeCells count="1">
    <mergeCell ref="A4:C4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/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hidden="1" customWidth="1"/>
    <col min="5" max="5" width="13.7109375" style="1" hidden="1" customWidth="1"/>
    <col min="6" max="6" width="14.42578125" style="1" hidden="1" customWidth="1"/>
    <col min="7" max="7" width="12.7109375" style="1" hidden="1" customWidth="1"/>
    <col min="8" max="8" width="4.42578125" style="1" hidden="1" customWidth="1"/>
    <col min="9" max="9" width="6.85546875" style="1" hidden="1" customWidth="1"/>
    <col min="10" max="10" width="3.28515625" style="1" hidden="1" customWidth="1"/>
    <col min="11" max="11" width="0" style="1" hidden="1" customWidth="1"/>
    <col min="12" max="16384" width="9.140625" style="1"/>
  </cols>
  <sheetData>
    <row r="1" spans="1:3" x14ac:dyDescent="0.2">
      <c r="A1" s="101" t="s">
        <v>239</v>
      </c>
    </row>
    <row r="3" spans="1:3" x14ac:dyDescent="0.2">
      <c r="A3" s="1" t="s">
        <v>208</v>
      </c>
    </row>
    <row r="4" spans="1:3" x14ac:dyDescent="0.2">
      <c r="A4" s="267" t="s">
        <v>204</v>
      </c>
    </row>
    <row r="5" spans="1:3" ht="25.5" customHeight="1" x14ac:dyDescent="0.2">
      <c r="A5" s="407" t="s">
        <v>249</v>
      </c>
      <c r="B5" s="406"/>
      <c r="C5" s="406"/>
    </row>
    <row r="6" spans="1:3" x14ac:dyDescent="0.2">
      <c r="A6" s="1" t="s">
        <v>205</v>
      </c>
    </row>
    <row r="7" spans="1:3" ht="26.25" customHeight="1" x14ac:dyDescent="0.2">
      <c r="A7" s="406" t="s">
        <v>206</v>
      </c>
      <c r="B7" s="406"/>
      <c r="C7" s="406"/>
    </row>
    <row r="8" spans="1:3" x14ac:dyDescent="0.2">
      <c r="A8" s="1" t="s">
        <v>207</v>
      </c>
    </row>
    <row r="9" spans="1:3" x14ac:dyDescent="0.2">
      <c r="A9" s="1" t="s">
        <v>240</v>
      </c>
    </row>
    <row r="10" spans="1:3" ht="13.5" thickBot="1" x14ac:dyDescent="0.25"/>
    <row r="11" spans="1:3" ht="18" x14ac:dyDescent="0.25">
      <c r="B11" s="404" t="s">
        <v>229</v>
      </c>
      <c r="C11" s="405"/>
    </row>
    <row r="12" spans="1:3" ht="15" x14ac:dyDescent="0.25">
      <c r="A12" s="148"/>
      <c r="B12" s="147" t="s">
        <v>203</v>
      </c>
      <c r="C12" s="195"/>
    </row>
    <row r="13" spans="1:3" ht="15" x14ac:dyDescent="0.25">
      <c r="A13" s="148"/>
      <c r="B13" s="149" t="s">
        <v>118</v>
      </c>
      <c r="C13" s="150">
        <v>2486</v>
      </c>
    </row>
    <row r="14" spans="1:3" ht="15" x14ac:dyDescent="0.25">
      <c r="A14" s="148"/>
      <c r="B14" s="151" t="s">
        <v>119</v>
      </c>
      <c r="C14" s="150">
        <v>3303</v>
      </c>
    </row>
    <row r="15" spans="1:3" ht="14.25" x14ac:dyDescent="0.2">
      <c r="A15" s="148"/>
      <c r="B15" s="196" t="s">
        <v>120</v>
      </c>
      <c r="C15" s="197">
        <v>81</v>
      </c>
    </row>
    <row r="16" spans="1:3" ht="14.25" x14ac:dyDescent="0.2">
      <c r="A16" s="148"/>
      <c r="B16" s="196" t="s">
        <v>121</v>
      </c>
      <c r="C16" s="197">
        <v>2336</v>
      </c>
    </row>
    <row r="17" spans="1:7" ht="14.25" x14ac:dyDescent="0.2">
      <c r="A17" s="148"/>
      <c r="B17" s="196" t="s">
        <v>122</v>
      </c>
      <c r="C17" s="197">
        <v>342</v>
      </c>
    </row>
    <row r="18" spans="1:7" ht="14.25" x14ac:dyDescent="0.2">
      <c r="A18" s="148"/>
      <c r="B18" s="196" t="s">
        <v>123</v>
      </c>
      <c r="C18" s="197">
        <v>18</v>
      </c>
    </row>
    <row r="19" spans="1:7" ht="14.25" x14ac:dyDescent="0.2">
      <c r="A19" s="148"/>
      <c r="B19" s="196" t="s">
        <v>124</v>
      </c>
      <c r="C19" s="197">
        <v>500</v>
      </c>
    </row>
    <row r="20" spans="1:7" ht="14.25" x14ac:dyDescent="0.2">
      <c r="A20" s="148"/>
      <c r="B20" s="196" t="s">
        <v>125</v>
      </c>
      <c r="C20" s="197">
        <v>1</v>
      </c>
    </row>
    <row r="21" spans="1:7" ht="14.25" x14ac:dyDescent="0.2">
      <c r="A21" s="148"/>
      <c r="B21" s="196" t="s">
        <v>126</v>
      </c>
      <c r="C21" s="197">
        <v>25</v>
      </c>
    </row>
    <row r="22" spans="1:7" ht="14.25" x14ac:dyDescent="0.2">
      <c r="A22" s="148"/>
      <c r="B22" s="198" t="s">
        <v>127</v>
      </c>
      <c r="C22" s="199">
        <v>0</v>
      </c>
    </row>
    <row r="23" spans="1:7" ht="15" x14ac:dyDescent="0.25">
      <c r="A23" s="148" t="s">
        <v>128</v>
      </c>
      <c r="B23" s="147" t="s">
        <v>129</v>
      </c>
      <c r="C23" s="195"/>
    </row>
    <row r="24" spans="1:7" ht="14.25" x14ac:dyDescent="0.2">
      <c r="A24" s="148"/>
      <c r="B24" s="200" t="s">
        <v>255</v>
      </c>
      <c r="C24" s="201">
        <v>6400</v>
      </c>
    </row>
    <row r="25" spans="1:7" ht="14.25" x14ac:dyDescent="0.2">
      <c r="A25" s="148"/>
      <c r="B25" s="196" t="s">
        <v>256</v>
      </c>
      <c r="C25" s="197">
        <v>5583</v>
      </c>
    </row>
    <row r="26" spans="1:7" ht="14.25" x14ac:dyDescent="0.2">
      <c r="B26" s="196" t="s">
        <v>257</v>
      </c>
      <c r="C26" s="197">
        <v>-817</v>
      </c>
    </row>
    <row r="27" spans="1:7" ht="14.25" x14ac:dyDescent="0.2">
      <c r="B27" s="202"/>
      <c r="C27" s="203"/>
    </row>
    <row r="28" spans="1:7" ht="15" x14ac:dyDescent="0.25">
      <c r="B28" s="152" t="s">
        <v>130</v>
      </c>
      <c r="C28" s="268">
        <f>MEDIAN(C13,C14)/MEDIAN(C24,C25)</f>
        <v>0.48310105983476592</v>
      </c>
      <c r="G28" s="1">
        <f>12/C28</f>
        <v>24.839523233719124</v>
      </c>
    </row>
    <row r="29" spans="1:7" ht="15" x14ac:dyDescent="0.25">
      <c r="B29" s="149" t="s">
        <v>131</v>
      </c>
      <c r="C29" s="268">
        <f>C16/MEDIAN(C24,C25)</f>
        <v>0.38988567136777103</v>
      </c>
    </row>
    <row r="30" spans="1:7" ht="15" x14ac:dyDescent="0.25">
      <c r="B30" s="154" t="s">
        <v>132</v>
      </c>
      <c r="C30" s="153">
        <v>360</v>
      </c>
    </row>
    <row r="31" spans="1:7" ht="15" x14ac:dyDescent="0.25">
      <c r="B31" s="149" t="s">
        <v>241</v>
      </c>
      <c r="C31" s="153">
        <v>10</v>
      </c>
    </row>
    <row r="32" spans="1:7" ht="15" x14ac:dyDescent="0.25">
      <c r="B32" s="149" t="s">
        <v>242</v>
      </c>
      <c r="C32" s="153">
        <v>30</v>
      </c>
      <c r="G32" s="1">
        <f>TRUNC(G37)</f>
        <v>0</v>
      </c>
    </row>
    <row r="33" spans="2:11" ht="15" x14ac:dyDescent="0.25">
      <c r="B33" s="149" t="s">
        <v>243</v>
      </c>
      <c r="C33" s="153">
        <v>30</v>
      </c>
    </row>
    <row r="34" spans="2:11" s="101" customFormat="1" ht="15" x14ac:dyDescent="0.25">
      <c r="B34" s="149" t="s">
        <v>133</v>
      </c>
      <c r="C34" s="204">
        <f>MEDIAN(C24,C25)</f>
        <v>5991.5</v>
      </c>
    </row>
    <row r="35" spans="2:11" s="101" customFormat="1" ht="15" x14ac:dyDescent="0.25">
      <c r="B35" s="149" t="s">
        <v>39</v>
      </c>
      <c r="C35" s="205">
        <v>0.08</v>
      </c>
      <c r="K35" s="101">
        <f>IF(C39&gt;12,C39-12,C39)</f>
        <v>12.839523233719124</v>
      </c>
    </row>
    <row r="36" spans="2:11" s="101" customFormat="1" ht="15" x14ac:dyDescent="0.25">
      <c r="B36" s="149" t="s">
        <v>134</v>
      </c>
      <c r="C36" s="205">
        <v>0.5</v>
      </c>
      <c r="K36" s="101" t="e">
        <f>IF(#REF!&gt;12,#REF!-12,#REF!)</f>
        <v>#REF!</v>
      </c>
    </row>
    <row r="37" spans="2:11" s="101" customFormat="1" ht="15" x14ac:dyDescent="0.25">
      <c r="B37" s="149" t="s">
        <v>135</v>
      </c>
      <c r="C37" s="269">
        <f>((1/C28)-TRUNC(E37))</f>
        <v>6.9960269476593506E-2</v>
      </c>
      <c r="D37" s="101">
        <f>TRUNC(E37)</f>
        <v>2</v>
      </c>
      <c r="E37" s="101">
        <f>1/C28</f>
        <v>2.0699602694765935</v>
      </c>
      <c r="F37" s="101">
        <f>((1/C28)-TRUNC(E37))</f>
        <v>6.9960269476593506E-2</v>
      </c>
      <c r="G37" s="101">
        <f>12*F37</f>
        <v>0.83952323371912208</v>
      </c>
      <c r="K37" s="101" t="e">
        <f>IF(#REF!&gt;12,#REF!-12,#REF!)</f>
        <v>#REF!</v>
      </c>
    </row>
    <row r="38" spans="2:11" s="101" customFormat="1" ht="15" x14ac:dyDescent="0.25">
      <c r="B38" s="147" t="s">
        <v>136</v>
      </c>
      <c r="C38" s="155">
        <f>30+D38</f>
        <v>36</v>
      </c>
      <c r="D38" s="101">
        <f>3*D37</f>
        <v>6</v>
      </c>
      <c r="G38" s="101">
        <f>G37/12*40/360</f>
        <v>7.7733632751770566E-3</v>
      </c>
      <c r="K38" s="101" t="e">
        <f>IF(#REF!&gt;12,#REF!-12,#REF!)</f>
        <v>#REF!</v>
      </c>
    </row>
    <row r="39" spans="2:11" s="101" customFormat="1" ht="15.75" thickBot="1" x14ac:dyDescent="0.3">
      <c r="B39" s="156" t="s">
        <v>246</v>
      </c>
      <c r="C39" s="270">
        <f>12/C28</f>
        <v>24.839523233719124</v>
      </c>
      <c r="K39" s="101" t="e">
        <f>IF(#REF!&gt;12,#REF!-12,#REF!)</f>
        <v>#REF!</v>
      </c>
    </row>
    <row r="40" spans="2:11" x14ac:dyDescent="0.2">
      <c r="K40" s="1" t="e">
        <f t="shared" ref="K40:K41" si="0">IF(K39&gt;12,K39-12,K39)</f>
        <v>#REF!</v>
      </c>
    </row>
    <row r="41" spans="2:11" x14ac:dyDescent="0.2">
      <c r="K41" s="1" t="e">
        <f t="shared" si="0"/>
        <v>#REF!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E14" sqref="E14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4" bestFit="1" customWidth="1"/>
    <col min="6" max="6" width="9.7109375" bestFit="1" customWidth="1"/>
  </cols>
  <sheetData>
    <row r="1" spans="1:8" s="137" customFormat="1" ht="14.25" x14ac:dyDescent="0.2">
      <c r="A1" s="11" t="s">
        <v>200</v>
      </c>
      <c r="B1" s="135"/>
      <c r="C1" s="135"/>
      <c r="E1" s="138"/>
    </row>
    <row r="2" spans="1:8" s="137" customFormat="1" ht="14.25" x14ac:dyDescent="0.2">
      <c r="A2" s="130" t="s">
        <v>247</v>
      </c>
      <c r="B2" s="135"/>
      <c r="C2" s="135"/>
      <c r="E2" s="138"/>
    </row>
    <row r="3" spans="1:8" s="137" customFormat="1" ht="14.25" x14ac:dyDescent="0.2">
      <c r="A3" s="9" t="s">
        <v>201</v>
      </c>
      <c r="B3" s="135"/>
      <c r="C3" s="135"/>
      <c r="E3" s="138"/>
    </row>
    <row r="4" spans="1:8" s="137" customFormat="1" ht="14.25" x14ac:dyDescent="0.2">
      <c r="A4" s="101" t="s">
        <v>417</v>
      </c>
      <c r="B4" s="135"/>
      <c r="C4" s="135"/>
      <c r="E4" s="138"/>
    </row>
    <row r="5" spans="1:8" s="137" customFormat="1" ht="15" thickBot="1" x14ac:dyDescent="0.25">
      <c r="B5" s="135"/>
      <c r="C5" s="135"/>
      <c r="E5" s="138"/>
    </row>
    <row r="6" spans="1:8" ht="15.75" x14ac:dyDescent="0.2">
      <c r="A6" s="413" t="s">
        <v>230</v>
      </c>
      <c r="B6" s="414"/>
      <c r="C6" s="414"/>
      <c r="D6" s="414"/>
      <c r="E6" s="414"/>
      <c r="F6" s="415"/>
    </row>
    <row r="7" spans="1:8" ht="16.5" thickBot="1" x14ac:dyDescent="0.25">
      <c r="A7" s="252"/>
      <c r="B7" s="253"/>
      <c r="C7" s="253"/>
      <c r="D7" s="253"/>
      <c r="E7" s="253"/>
      <c r="F7" s="254"/>
    </row>
    <row r="8" spans="1:8" ht="15" x14ac:dyDescent="0.25">
      <c r="A8" s="206"/>
      <c r="B8" s="136"/>
      <c r="C8" s="136"/>
      <c r="D8" s="410" t="s">
        <v>244</v>
      </c>
      <c r="E8" s="411"/>
      <c r="F8" s="412"/>
      <c r="G8" s="137"/>
      <c r="H8" s="137"/>
    </row>
    <row r="9" spans="1:8" ht="15" thickBot="1" x14ac:dyDescent="0.25">
      <c r="A9" s="202"/>
      <c r="B9" s="207"/>
      <c r="C9" s="207"/>
      <c r="D9" s="208" t="s">
        <v>187</v>
      </c>
      <c r="E9" s="209" t="s">
        <v>188</v>
      </c>
      <c r="F9" s="210" t="s">
        <v>189</v>
      </c>
      <c r="G9" s="137"/>
      <c r="H9" s="137"/>
    </row>
    <row r="10" spans="1:8" ht="14.25" x14ac:dyDescent="0.2">
      <c r="A10" s="211" t="s">
        <v>74</v>
      </c>
      <c r="B10" s="212" t="s">
        <v>75</v>
      </c>
      <c r="C10" s="213">
        <v>0.06</v>
      </c>
      <c r="D10" s="234">
        <v>2.9700000000000001E-2</v>
      </c>
      <c r="E10" s="235">
        <v>5.0799999999999998E-2</v>
      </c>
      <c r="F10" s="236">
        <v>6.2700000000000006E-2</v>
      </c>
      <c r="G10" s="137"/>
      <c r="H10" s="137"/>
    </row>
    <row r="11" spans="1:8" ht="14.25" x14ac:dyDescent="0.2">
      <c r="A11" s="215" t="s">
        <v>76</v>
      </c>
      <c r="B11" s="216" t="s">
        <v>77</v>
      </c>
      <c r="C11" s="217">
        <v>0.01</v>
      </c>
      <c r="D11" s="234">
        <f>0.3%+0.56%</f>
        <v>8.6E-3</v>
      </c>
      <c r="E11" s="235">
        <f>0.48%+0.85%</f>
        <v>1.3299999999999999E-2</v>
      </c>
      <c r="F11" s="236">
        <f>0.82%+0.89%</f>
        <v>1.7099999999999997E-2</v>
      </c>
      <c r="G11" s="137"/>
      <c r="H11" s="137"/>
    </row>
    <row r="12" spans="1:8" ht="14.25" x14ac:dyDescent="0.2">
      <c r="A12" s="215" t="s">
        <v>78</v>
      </c>
      <c r="B12" s="216" t="s">
        <v>79</v>
      </c>
      <c r="C12" s="217">
        <v>0.09</v>
      </c>
      <c r="D12" s="234">
        <v>7.7799999999999994E-2</v>
      </c>
      <c r="E12" s="235">
        <v>0.1085</v>
      </c>
      <c r="F12" s="236">
        <v>0.13550000000000001</v>
      </c>
      <c r="G12" s="137"/>
      <c r="H12" s="137"/>
    </row>
    <row r="13" spans="1:8" ht="14.25" x14ac:dyDescent="0.2">
      <c r="A13" s="215" t="s">
        <v>80</v>
      </c>
      <c r="B13" s="216" t="s">
        <v>81</v>
      </c>
      <c r="C13" s="218">
        <f>(1+E13)^(E14/252)-1</f>
        <v>2.1268922415460523E-3</v>
      </c>
      <c r="D13" s="234" t="s">
        <v>259</v>
      </c>
      <c r="E13" s="219">
        <v>5.5E-2</v>
      </c>
      <c r="F13" s="214"/>
      <c r="G13" s="137"/>
      <c r="H13" s="137"/>
    </row>
    <row r="14" spans="1:8" ht="14.25" x14ac:dyDescent="0.2">
      <c r="A14" s="215" t="s">
        <v>82</v>
      </c>
      <c r="B14" s="408" t="s">
        <v>83</v>
      </c>
      <c r="C14" s="217">
        <v>0.02</v>
      </c>
      <c r="D14" s="275" t="s">
        <v>190</v>
      </c>
      <c r="E14" s="220">
        <v>10</v>
      </c>
      <c r="F14" s="221"/>
      <c r="G14" s="137"/>
      <c r="H14" s="137"/>
    </row>
    <row r="15" spans="1:8" ht="15" thickBot="1" x14ac:dyDescent="0.25">
      <c r="A15" s="222" t="s">
        <v>283</v>
      </c>
      <c r="B15" s="409"/>
      <c r="C15" s="223">
        <v>3.6499999999999998E-2</v>
      </c>
      <c r="D15" s="196"/>
      <c r="E15" s="224"/>
      <c r="F15" s="221"/>
      <c r="G15" s="137"/>
      <c r="H15" s="137"/>
    </row>
    <row r="16" spans="1:8" ht="14.25" x14ac:dyDescent="0.2">
      <c r="A16" s="225" t="s">
        <v>84</v>
      </c>
      <c r="B16" s="226"/>
      <c r="C16" s="227"/>
      <c r="D16" s="196"/>
      <c r="E16" s="224"/>
      <c r="F16" s="221"/>
      <c r="G16" s="137"/>
      <c r="H16" s="137"/>
    </row>
    <row r="17" spans="1:8" ht="15" thickBot="1" x14ac:dyDescent="0.25">
      <c r="A17" s="228" t="s">
        <v>85</v>
      </c>
      <c r="B17" s="229"/>
      <c r="C17" s="230"/>
      <c r="D17" s="196"/>
      <c r="E17" s="224"/>
      <c r="F17" s="221"/>
      <c r="G17" s="137"/>
      <c r="H17" s="137"/>
    </row>
    <row r="18" spans="1:8" ht="15.75" thickBot="1" x14ac:dyDescent="0.25">
      <c r="A18" s="231" t="s">
        <v>86</v>
      </c>
      <c r="B18" s="232"/>
      <c r="C18" s="233">
        <f>ROUND((((1+C10+C11)*(1+C12)*(1+C13))/(1-(C14+C15))-1),4)</f>
        <v>0.23880000000000001</v>
      </c>
      <c r="D18" s="237">
        <v>0.21429999999999999</v>
      </c>
      <c r="E18" s="238">
        <v>0.2717</v>
      </c>
      <c r="F18" s="239">
        <v>0.3362</v>
      </c>
      <c r="G18" s="137"/>
      <c r="H18" s="137"/>
    </row>
    <row r="19" spans="1:8" ht="14.25" x14ac:dyDescent="0.2">
      <c r="A19" s="137"/>
      <c r="B19" s="137"/>
      <c r="C19" s="137"/>
      <c r="D19" s="137"/>
      <c r="E19" s="138"/>
      <c r="F19" s="137"/>
      <c r="G19" s="137"/>
      <c r="H19" s="137"/>
    </row>
    <row r="20" spans="1:8" ht="14.25" x14ac:dyDescent="0.2">
      <c r="A20" s="137"/>
      <c r="B20" s="137"/>
      <c r="C20" s="137"/>
      <c r="D20" s="137"/>
      <c r="E20" s="138"/>
      <c r="F20" s="137"/>
      <c r="G20" s="137"/>
      <c r="H20" s="137"/>
    </row>
    <row r="21" spans="1:8" ht="14.25" x14ac:dyDescent="0.2">
      <c r="A21" s="137"/>
      <c r="B21" s="137"/>
      <c r="C21" s="137"/>
      <c r="D21" s="137"/>
      <c r="E21" s="138"/>
      <c r="F21" s="137"/>
      <c r="G21" s="137"/>
      <c r="H21" s="137"/>
    </row>
    <row r="22" spans="1:8" ht="14.25" x14ac:dyDescent="0.2">
      <c r="A22" s="137"/>
      <c r="B22" s="137"/>
      <c r="C22" s="137"/>
      <c r="D22" s="137"/>
      <c r="E22" s="138"/>
      <c r="F22" s="137"/>
      <c r="G22" s="137"/>
      <c r="H22" s="137"/>
    </row>
  </sheetData>
  <mergeCells count="3">
    <mergeCell ref="B14:B15"/>
    <mergeCell ref="D8:F8"/>
    <mergeCell ref="A6:F6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3" sqref="A3"/>
    </sheetView>
  </sheetViews>
  <sheetFormatPr defaultColWidth="9.140625"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416" t="s">
        <v>233</v>
      </c>
      <c r="B1" s="417"/>
    </row>
    <row r="2" spans="1:2" s="101" customFormat="1" ht="19.5" customHeight="1" x14ac:dyDescent="0.2">
      <c r="A2" s="255" t="s">
        <v>209</v>
      </c>
      <c r="B2" s="256" t="s">
        <v>260</v>
      </c>
    </row>
    <row r="3" spans="1:2" ht="19.5" customHeight="1" x14ac:dyDescent="0.2">
      <c r="A3" s="158">
        <v>1</v>
      </c>
      <c r="B3" s="157">
        <v>33.629999999999995</v>
      </c>
    </row>
    <row r="4" spans="1:2" ht="19.5" customHeight="1" x14ac:dyDescent="0.2">
      <c r="A4" s="158">
        <v>2</v>
      </c>
      <c r="B4" s="157">
        <v>43.13</v>
      </c>
    </row>
    <row r="5" spans="1:2" ht="19.5" customHeight="1" x14ac:dyDescent="0.2">
      <c r="A5" s="158">
        <v>3</v>
      </c>
      <c r="B5" s="157">
        <v>48.68</v>
      </c>
    </row>
    <row r="6" spans="1:2" ht="19.5" customHeight="1" x14ac:dyDescent="0.2">
      <c r="A6" s="158">
        <v>4</v>
      </c>
      <c r="B6" s="157">
        <v>52.62</v>
      </c>
    </row>
    <row r="7" spans="1:2" ht="19.5" customHeight="1" x14ac:dyDescent="0.2">
      <c r="A7" s="158">
        <v>5</v>
      </c>
      <c r="B7" s="157">
        <v>55.679999999999993</v>
      </c>
    </row>
    <row r="8" spans="1:2" ht="19.5" customHeight="1" x14ac:dyDescent="0.2">
      <c r="A8" s="158">
        <v>6</v>
      </c>
      <c r="B8" s="157">
        <v>58.18</v>
      </c>
    </row>
    <row r="9" spans="1:2" ht="19.5" customHeight="1" x14ac:dyDescent="0.2">
      <c r="A9" s="158">
        <v>7</v>
      </c>
      <c r="B9" s="157">
        <v>60.29</v>
      </c>
    </row>
    <row r="10" spans="1:2" ht="19.5" customHeight="1" x14ac:dyDescent="0.2">
      <c r="A10" s="158">
        <v>8</v>
      </c>
      <c r="B10" s="157">
        <v>62.12</v>
      </c>
    </row>
    <row r="11" spans="1:2" ht="19.5" customHeight="1" x14ac:dyDescent="0.2">
      <c r="A11" s="158">
        <v>9</v>
      </c>
      <c r="B11" s="157">
        <v>63.73</v>
      </c>
    </row>
    <row r="12" spans="1:2" ht="19.5" customHeight="1" x14ac:dyDescent="0.2">
      <c r="A12" s="158">
        <v>10</v>
      </c>
      <c r="B12" s="157">
        <v>65.180000000000007</v>
      </c>
    </row>
    <row r="13" spans="1:2" ht="19.5" customHeight="1" x14ac:dyDescent="0.2">
      <c r="A13" s="158">
        <v>11</v>
      </c>
      <c r="B13" s="157">
        <v>66.47999999999999</v>
      </c>
    </row>
    <row r="14" spans="1:2" ht="19.5" customHeight="1" x14ac:dyDescent="0.2">
      <c r="A14" s="158">
        <v>12</v>
      </c>
      <c r="B14" s="157">
        <v>67.67</v>
      </c>
    </row>
    <row r="15" spans="1:2" ht="19.5" customHeight="1" x14ac:dyDescent="0.2">
      <c r="A15" s="158">
        <v>13</v>
      </c>
      <c r="B15" s="157">
        <v>68.77</v>
      </c>
    </row>
    <row r="16" spans="1:2" ht="19.5" customHeight="1" x14ac:dyDescent="0.2">
      <c r="A16" s="158">
        <v>14</v>
      </c>
      <c r="B16" s="157">
        <v>69.789999999999992</v>
      </c>
    </row>
    <row r="17" spans="1:2" ht="19.5" customHeight="1" thickBot="1" x14ac:dyDescent="0.25">
      <c r="A17" s="159">
        <v>15</v>
      </c>
      <c r="B17" s="160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topLeftCell="A19" workbookViewId="0">
      <selection activeCell="I12" sqref="I12"/>
    </sheetView>
  </sheetViews>
  <sheetFormatPr defaultColWidth="8.85546875" defaultRowHeight="15" x14ac:dyDescent="0.25"/>
  <cols>
    <col min="1" max="1" width="8.85546875" style="341"/>
    <col min="2" max="2" width="14.140625" style="341" customWidth="1"/>
    <col min="3" max="3" width="11.5703125" style="341" customWidth="1"/>
    <col min="4" max="4" width="13.5703125" style="341" bestFit="1" customWidth="1"/>
    <col min="5" max="5" width="10.5703125" style="341" bestFit="1" customWidth="1"/>
    <col min="6" max="6" width="9.42578125" style="341" bestFit="1" customWidth="1"/>
    <col min="7" max="7" width="7" style="341" customWidth="1"/>
    <col min="8" max="8" width="9" style="341" bestFit="1" customWidth="1"/>
    <col min="9" max="10" width="8.85546875" style="341"/>
    <col min="11" max="11" width="12" style="341" customWidth="1"/>
    <col min="12" max="12" width="11.5703125" style="341" customWidth="1"/>
    <col min="13" max="13" width="10.5703125" style="341" customWidth="1"/>
    <col min="14" max="16384" width="8.85546875" style="341"/>
  </cols>
  <sheetData>
    <row r="1" spans="2:14" ht="15" customHeight="1" x14ac:dyDescent="0.25">
      <c r="B1" s="299" t="s">
        <v>400</v>
      </c>
      <c r="H1" s="418"/>
      <c r="I1" s="418"/>
      <c r="K1" s="343"/>
      <c r="L1" s="343"/>
      <c r="M1" s="343"/>
      <c r="N1" s="343"/>
    </row>
    <row r="2" spans="2:14" x14ac:dyDescent="0.25">
      <c r="B2" s="419" t="s">
        <v>295</v>
      </c>
      <c r="C2" s="419"/>
      <c r="D2" s="419"/>
      <c r="E2" s="419"/>
      <c r="F2" s="419"/>
      <c r="G2" s="344"/>
      <c r="H2" s="346"/>
      <c r="I2" s="344"/>
      <c r="K2" s="344"/>
      <c r="L2" s="344"/>
      <c r="M2" s="344"/>
      <c r="N2" s="344"/>
    </row>
    <row r="3" spans="2:14" ht="15" customHeight="1" x14ac:dyDescent="0.25">
      <c r="B3" s="419" t="s">
        <v>403</v>
      </c>
      <c r="C3" s="419"/>
      <c r="D3" s="419"/>
      <c r="E3" s="419"/>
      <c r="F3" s="419"/>
      <c r="G3" s="344"/>
      <c r="H3" s="352"/>
      <c r="I3" s="352"/>
      <c r="K3" s="353"/>
      <c r="L3" s="344"/>
      <c r="M3" s="354"/>
      <c r="N3" s="354"/>
    </row>
    <row r="4" spans="2:14" x14ac:dyDescent="0.25">
      <c r="B4" s="419" t="s">
        <v>387</v>
      </c>
      <c r="C4" s="419"/>
      <c r="D4" s="419"/>
      <c r="E4" s="419"/>
      <c r="F4" s="419"/>
      <c r="G4" s="344"/>
      <c r="H4" s="352"/>
      <c r="I4" s="352"/>
      <c r="K4" s="353"/>
      <c r="L4" s="344"/>
      <c r="M4" s="354"/>
      <c r="N4" s="354"/>
    </row>
    <row r="5" spans="2:14" s="357" customFormat="1" x14ac:dyDescent="0.25">
      <c r="B5" s="368" t="s">
        <v>299</v>
      </c>
      <c r="C5" s="368" t="s">
        <v>300</v>
      </c>
      <c r="D5" s="368" t="s">
        <v>301</v>
      </c>
      <c r="E5" s="368" t="s">
        <v>297</v>
      </c>
      <c r="F5" s="368" t="s">
        <v>258</v>
      </c>
      <c r="G5" s="344"/>
      <c r="H5" s="352"/>
      <c r="I5" s="352"/>
      <c r="K5" s="353"/>
      <c r="L5" s="344"/>
      <c r="M5" s="354"/>
      <c r="N5" s="354"/>
    </row>
    <row r="6" spans="2:14" s="357" customFormat="1" x14ac:dyDescent="0.25">
      <c r="B6" s="368" t="s">
        <v>302</v>
      </c>
      <c r="C6" s="368"/>
      <c r="D6" s="371" t="s">
        <v>303</v>
      </c>
      <c r="E6" s="372">
        <v>3434.76</v>
      </c>
      <c r="F6" s="373" t="s">
        <v>304</v>
      </c>
      <c r="G6" s="342"/>
      <c r="H6" s="352"/>
      <c r="I6" s="352"/>
      <c r="K6" s="353"/>
      <c r="L6" s="344"/>
      <c r="M6" s="354"/>
      <c r="N6" s="354"/>
    </row>
    <row r="7" spans="2:14" x14ac:dyDescent="0.25">
      <c r="B7" s="368" t="s">
        <v>305</v>
      </c>
      <c r="C7" s="368"/>
      <c r="D7" s="371" t="s">
        <v>306</v>
      </c>
      <c r="E7" s="372">
        <v>2907.66</v>
      </c>
      <c r="F7" s="373" t="s">
        <v>304</v>
      </c>
      <c r="G7" s="342"/>
      <c r="H7" s="352"/>
      <c r="I7" s="352"/>
      <c r="K7" s="353"/>
      <c r="L7" s="344"/>
      <c r="M7" s="354"/>
      <c r="N7" s="354"/>
    </row>
    <row r="8" spans="2:14" x14ac:dyDescent="0.25">
      <c r="B8" s="368" t="s">
        <v>307</v>
      </c>
      <c r="C8" s="368"/>
      <c r="D8" s="371" t="s">
        <v>308</v>
      </c>
      <c r="E8" s="372">
        <v>3097.64</v>
      </c>
      <c r="F8" s="373" t="s">
        <v>304</v>
      </c>
      <c r="G8" s="342"/>
      <c r="H8" s="343"/>
      <c r="I8" s="343"/>
      <c r="J8" s="342"/>
      <c r="K8" s="343"/>
      <c r="L8" s="343"/>
      <c r="M8" s="343"/>
      <c r="N8" s="343"/>
    </row>
    <row r="9" spans="2:14" x14ac:dyDescent="0.25">
      <c r="B9" s="368" t="s">
        <v>309</v>
      </c>
      <c r="C9" s="368"/>
      <c r="D9" s="371" t="s">
        <v>310</v>
      </c>
      <c r="E9" s="372">
        <v>3088.75</v>
      </c>
      <c r="F9" s="373" t="s">
        <v>304</v>
      </c>
      <c r="G9" s="342"/>
      <c r="H9" s="344"/>
      <c r="I9" s="344"/>
      <c r="K9" s="353"/>
      <c r="L9" s="344"/>
      <c r="M9" s="354"/>
      <c r="N9" s="354"/>
    </row>
    <row r="10" spans="2:14" x14ac:dyDescent="0.25">
      <c r="B10" s="368" t="s">
        <v>311</v>
      </c>
      <c r="C10" s="368"/>
      <c r="D10" s="371" t="s">
        <v>312</v>
      </c>
      <c r="E10" s="372">
        <v>19520.95</v>
      </c>
      <c r="F10" s="373" t="s">
        <v>304</v>
      </c>
      <c r="G10" s="342"/>
      <c r="H10" s="344"/>
      <c r="I10" s="344"/>
      <c r="K10" s="353"/>
      <c r="L10" s="344"/>
      <c r="M10" s="354"/>
      <c r="N10" s="354"/>
    </row>
    <row r="11" spans="2:14" x14ac:dyDescent="0.25">
      <c r="B11" s="368" t="s">
        <v>313</v>
      </c>
      <c r="C11" s="368"/>
      <c r="D11" s="371" t="s">
        <v>314</v>
      </c>
      <c r="E11" s="372">
        <v>3353.75</v>
      </c>
      <c r="F11" s="373" t="s">
        <v>304</v>
      </c>
      <c r="G11" s="342"/>
      <c r="H11" s="344"/>
      <c r="I11" s="344"/>
      <c r="K11" s="353"/>
      <c r="L11" s="344"/>
      <c r="M11" s="354"/>
      <c r="N11" s="354"/>
    </row>
    <row r="12" spans="2:14" x14ac:dyDescent="0.25">
      <c r="B12" s="368" t="s">
        <v>315</v>
      </c>
      <c r="C12" s="368"/>
      <c r="D12" s="371" t="s">
        <v>316</v>
      </c>
      <c r="E12" s="372">
        <v>2479.54</v>
      </c>
      <c r="F12" s="373" t="s">
        <v>304</v>
      </c>
      <c r="G12" s="342"/>
      <c r="H12" s="344"/>
      <c r="I12" s="344"/>
      <c r="K12" s="353"/>
      <c r="L12" s="344"/>
      <c r="M12" s="354"/>
      <c r="N12" s="354"/>
    </row>
    <row r="13" spans="2:14" x14ac:dyDescent="0.25">
      <c r="B13" s="368" t="s">
        <v>317</v>
      </c>
      <c r="C13" s="368"/>
      <c r="D13" s="371" t="s">
        <v>318</v>
      </c>
      <c r="E13" s="372">
        <v>2876.98</v>
      </c>
      <c r="F13" s="373" t="s">
        <v>304</v>
      </c>
      <c r="G13" s="342"/>
      <c r="H13" s="344"/>
      <c r="I13" s="352"/>
      <c r="K13" s="353"/>
      <c r="L13" s="344"/>
      <c r="M13" s="354"/>
      <c r="N13" s="354"/>
    </row>
    <row r="14" spans="2:14" x14ac:dyDescent="0.25">
      <c r="B14" s="368" t="s">
        <v>319</v>
      </c>
      <c r="C14" s="368"/>
      <c r="D14" s="371" t="s">
        <v>320</v>
      </c>
      <c r="E14" s="372">
        <v>1766.92</v>
      </c>
      <c r="F14" s="373" t="s">
        <v>304</v>
      </c>
      <c r="G14" s="342"/>
      <c r="H14" s="344"/>
      <c r="I14" s="352"/>
      <c r="K14" s="353"/>
      <c r="L14" s="344"/>
      <c r="M14" s="354"/>
      <c r="N14" s="354"/>
    </row>
    <row r="15" spans="2:14" x14ac:dyDescent="0.25">
      <c r="B15" s="368" t="s">
        <v>374</v>
      </c>
      <c r="C15" s="368"/>
      <c r="D15" s="371" t="s">
        <v>376</v>
      </c>
      <c r="E15" s="372">
        <v>2988.49</v>
      </c>
      <c r="F15" s="373" t="s">
        <v>304</v>
      </c>
      <c r="G15" s="342"/>
      <c r="H15" s="344"/>
      <c r="I15" s="344"/>
      <c r="K15" s="343"/>
      <c r="L15" s="343"/>
      <c r="M15" s="343"/>
      <c r="N15" s="343"/>
    </row>
    <row r="16" spans="2:14" x14ac:dyDescent="0.25">
      <c r="B16" s="368" t="s">
        <v>377</v>
      </c>
      <c r="C16" s="368"/>
      <c r="D16" s="371" t="s">
        <v>378</v>
      </c>
      <c r="E16" s="372">
        <v>1829.7</v>
      </c>
      <c r="F16" s="373" t="s">
        <v>304</v>
      </c>
      <c r="G16" s="342"/>
      <c r="H16" s="344"/>
      <c r="I16" s="344"/>
      <c r="K16" s="343"/>
      <c r="L16" s="343"/>
      <c r="M16" s="343"/>
      <c r="N16" s="343"/>
    </row>
    <row r="17" spans="2:14" x14ac:dyDescent="0.25">
      <c r="B17" s="368" t="s">
        <v>379</v>
      </c>
      <c r="C17" s="368"/>
      <c r="D17" s="371" t="s">
        <v>380</v>
      </c>
      <c r="E17" s="372">
        <v>1354.96</v>
      </c>
      <c r="F17" s="373" t="s">
        <v>304</v>
      </c>
      <c r="G17" s="342"/>
      <c r="H17" s="344"/>
      <c r="I17" s="344"/>
      <c r="K17" s="343"/>
      <c r="L17" s="343"/>
      <c r="M17" s="343"/>
      <c r="N17" s="343"/>
    </row>
    <row r="18" spans="2:14" x14ac:dyDescent="0.25">
      <c r="B18" s="421" t="s">
        <v>321</v>
      </c>
      <c r="C18" s="421"/>
      <c r="D18" s="421"/>
      <c r="E18" s="374">
        <f>SUM(E6:E17)/1000</f>
        <v>48.700099999999999</v>
      </c>
      <c r="F18" s="373" t="s">
        <v>16</v>
      </c>
      <c r="G18" s="342"/>
      <c r="H18" s="352"/>
      <c r="I18" s="352"/>
      <c r="K18" s="353"/>
      <c r="L18" s="344"/>
      <c r="M18" s="354"/>
      <c r="N18" s="354"/>
    </row>
    <row r="19" spans="2:14" x14ac:dyDescent="0.25">
      <c r="B19" s="419" t="s">
        <v>322</v>
      </c>
      <c r="C19" s="419"/>
      <c r="D19" s="419"/>
      <c r="E19" s="419"/>
      <c r="F19" s="419"/>
      <c r="G19" s="342"/>
      <c r="H19" s="352"/>
      <c r="I19" s="352"/>
      <c r="K19" s="353"/>
      <c r="L19" s="344"/>
      <c r="M19" s="354"/>
      <c r="N19" s="354"/>
    </row>
    <row r="20" spans="2:14" x14ac:dyDescent="0.25">
      <c r="B20" s="419" t="s">
        <v>390</v>
      </c>
      <c r="C20" s="419"/>
      <c r="D20" s="419"/>
      <c r="E20" s="372">
        <v>91.7</v>
      </c>
      <c r="F20" s="375" t="s">
        <v>16</v>
      </c>
      <c r="G20" s="342"/>
      <c r="H20" s="343"/>
      <c r="I20" s="343"/>
      <c r="K20" s="343"/>
      <c r="L20" s="343"/>
      <c r="M20" s="343"/>
      <c r="N20" s="343"/>
    </row>
    <row r="21" spans="2:14" x14ac:dyDescent="0.25">
      <c r="B21" s="419" t="s">
        <v>391</v>
      </c>
      <c r="C21" s="419"/>
      <c r="D21" s="419"/>
      <c r="E21" s="372">
        <v>91.7</v>
      </c>
      <c r="F21" s="375" t="s">
        <v>16</v>
      </c>
      <c r="G21" s="342"/>
      <c r="H21" s="352"/>
      <c r="I21" s="352"/>
      <c r="K21" s="343"/>
      <c r="L21" s="343"/>
      <c r="M21" s="360"/>
      <c r="N21" s="343"/>
    </row>
    <row r="22" spans="2:14" x14ac:dyDescent="0.25">
      <c r="B22" s="421" t="s">
        <v>323</v>
      </c>
      <c r="C22" s="421"/>
      <c r="D22" s="421"/>
      <c r="E22" s="376">
        <f>SUM(E20:E21)</f>
        <v>183.4</v>
      </c>
      <c r="F22" s="375" t="s">
        <v>16</v>
      </c>
      <c r="G22" s="342"/>
      <c r="H22" s="343"/>
      <c r="I22" s="343"/>
    </row>
    <row r="23" spans="2:14" x14ac:dyDescent="0.25">
      <c r="B23" s="431"/>
      <c r="C23" s="432"/>
      <c r="D23" s="432"/>
      <c r="E23" s="432"/>
      <c r="F23" s="433"/>
      <c r="G23" s="342"/>
      <c r="H23" s="343"/>
      <c r="I23" s="343"/>
    </row>
    <row r="24" spans="2:14" x14ac:dyDescent="0.25">
      <c r="B24" s="421" t="s">
        <v>324</v>
      </c>
      <c r="C24" s="421"/>
      <c r="D24" s="421"/>
      <c r="E24" s="377">
        <f>E18+E22</f>
        <v>232.1001</v>
      </c>
      <c r="F24" s="375" t="s">
        <v>16</v>
      </c>
      <c r="G24" s="342"/>
      <c r="H24" s="343"/>
      <c r="I24" s="343"/>
    </row>
    <row r="25" spans="2:14" x14ac:dyDescent="0.25">
      <c r="B25" s="430"/>
      <c r="C25" s="430"/>
      <c r="D25" s="430"/>
      <c r="E25" s="430"/>
      <c r="F25" s="430"/>
      <c r="G25" s="342"/>
      <c r="H25" s="343"/>
      <c r="I25" s="343"/>
    </row>
    <row r="26" spans="2:14" x14ac:dyDescent="0.25">
      <c r="B26" s="427" t="s">
        <v>294</v>
      </c>
      <c r="C26" s="427"/>
      <c r="D26" s="427"/>
      <c r="E26" s="427"/>
      <c r="F26" s="427"/>
      <c r="G26" s="427"/>
    </row>
    <row r="27" spans="2:14" x14ac:dyDescent="0.25">
      <c r="B27" s="345" t="s">
        <v>384</v>
      </c>
      <c r="C27" s="428" t="s">
        <v>385</v>
      </c>
      <c r="D27" s="429"/>
      <c r="E27" s="345" t="s">
        <v>296</v>
      </c>
      <c r="F27" s="345" t="s">
        <v>297</v>
      </c>
      <c r="G27" s="345" t="s">
        <v>62</v>
      </c>
    </row>
    <row r="28" spans="2:14" x14ac:dyDescent="0.25">
      <c r="B28" s="369" t="s">
        <v>404</v>
      </c>
      <c r="C28" s="370">
        <v>2</v>
      </c>
      <c r="D28" s="349" t="s">
        <v>386</v>
      </c>
      <c r="E28" s="350" t="s">
        <v>298</v>
      </c>
      <c r="F28" s="351">
        <f>E24</f>
        <v>232.1001</v>
      </c>
      <c r="G28" s="351" t="s">
        <v>16</v>
      </c>
    </row>
    <row r="29" spans="2:14" x14ac:dyDescent="0.25">
      <c r="B29" s="347"/>
      <c r="C29" s="355"/>
      <c r="D29" s="356"/>
      <c r="E29" s="350"/>
      <c r="F29" s="351"/>
      <c r="G29" s="351"/>
    </row>
    <row r="30" spans="2:14" x14ac:dyDescent="0.25">
      <c r="B30" s="422"/>
      <c r="C30" s="423"/>
      <c r="D30" s="423"/>
      <c r="E30" s="422"/>
      <c r="F30" s="422"/>
      <c r="G30" s="422"/>
    </row>
    <row r="31" spans="2:14" x14ac:dyDescent="0.25">
      <c r="B31" s="424" t="s">
        <v>388</v>
      </c>
      <c r="C31" s="425"/>
      <c r="D31" s="425"/>
      <c r="E31" s="426"/>
      <c r="F31" s="358">
        <f>(F28*C28)</f>
        <v>464.2002</v>
      </c>
      <c r="G31" s="351" t="s">
        <v>375</v>
      </c>
    </row>
    <row r="32" spans="2:14" x14ac:dyDescent="0.25">
      <c r="B32" s="420" t="s">
        <v>389</v>
      </c>
      <c r="C32" s="420"/>
      <c r="D32" s="420"/>
      <c r="E32" s="420"/>
      <c r="F32" s="361">
        <f>((F31/7)*30)</f>
        <v>1989.4294285714286</v>
      </c>
      <c r="G32" s="359" t="s">
        <v>16</v>
      </c>
    </row>
    <row r="33" spans="2:7" x14ac:dyDescent="0.25">
      <c r="B33" s="420" t="s">
        <v>410</v>
      </c>
      <c r="C33" s="420"/>
      <c r="D33" s="420"/>
      <c r="E33" s="420"/>
      <c r="F33" s="361">
        <f>E18*2/7*30</f>
        <v>417.42942857142856</v>
      </c>
      <c r="G33" s="359" t="s">
        <v>16</v>
      </c>
    </row>
    <row r="34" spans="2:7" x14ac:dyDescent="0.25">
      <c r="B34" s="420" t="s">
        <v>411</v>
      </c>
      <c r="C34" s="420"/>
      <c r="D34" s="420"/>
      <c r="E34" s="420"/>
      <c r="F34" s="361">
        <f>((E22*2/7)*30)</f>
        <v>1572</v>
      </c>
      <c r="G34" s="359" t="s">
        <v>16</v>
      </c>
    </row>
  </sheetData>
  <mergeCells count="19">
    <mergeCell ref="B33:E33"/>
    <mergeCell ref="B34:E34"/>
    <mergeCell ref="B21:D21"/>
    <mergeCell ref="H1:I1"/>
    <mergeCell ref="B2:F2"/>
    <mergeCell ref="B32:E32"/>
    <mergeCell ref="B18:D18"/>
    <mergeCell ref="B3:F3"/>
    <mergeCell ref="B4:F4"/>
    <mergeCell ref="B30:G30"/>
    <mergeCell ref="B31:E31"/>
    <mergeCell ref="B26:G26"/>
    <mergeCell ref="C27:D27"/>
    <mergeCell ref="B25:F25"/>
    <mergeCell ref="B22:D22"/>
    <mergeCell ref="B23:F23"/>
    <mergeCell ref="B24:D24"/>
    <mergeCell ref="B19:F19"/>
    <mergeCell ref="B20:D20"/>
  </mergeCells>
  <pageMargins left="0.51181102362204722" right="0.51181102362204722" top="0.78740157480314965" bottom="0.78740157480314965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3"/>
  <sheetViews>
    <sheetView workbookViewId="0">
      <selection activeCell="B1" sqref="B1"/>
    </sheetView>
  </sheetViews>
  <sheetFormatPr defaultColWidth="8.85546875" defaultRowHeight="15" x14ac:dyDescent="0.25"/>
  <cols>
    <col min="1" max="1" width="8.85546875" style="341"/>
    <col min="2" max="2" width="14.140625" style="341" customWidth="1"/>
    <col min="3" max="3" width="11.5703125" style="341" customWidth="1"/>
    <col min="4" max="4" width="13.5703125" style="341" bestFit="1" customWidth="1"/>
    <col min="5" max="5" width="10.5703125" style="341" bestFit="1" customWidth="1"/>
    <col min="6" max="6" width="9.42578125" style="341" bestFit="1" customWidth="1"/>
    <col min="7" max="7" width="7.7109375" style="341" bestFit="1" customWidth="1"/>
    <col min="8" max="8" width="5.28515625" style="341" customWidth="1"/>
    <col min="9" max="16384" width="8.85546875" style="341"/>
  </cols>
  <sheetData>
    <row r="1" spans="2:8" ht="15" customHeight="1" x14ac:dyDescent="0.25">
      <c r="B1" s="299" t="s">
        <v>400</v>
      </c>
    </row>
    <row r="2" spans="2:8" x14ac:dyDescent="0.25">
      <c r="B2" s="419" t="s">
        <v>393</v>
      </c>
      <c r="C2" s="419"/>
      <c r="D2" s="419"/>
      <c r="E2" s="419"/>
      <c r="F2" s="419"/>
      <c r="G2" s="344"/>
      <c r="H2" s="344"/>
    </row>
    <row r="3" spans="2:8" ht="15" customHeight="1" x14ac:dyDescent="0.25">
      <c r="B3" s="419" t="s">
        <v>405</v>
      </c>
      <c r="C3" s="419"/>
      <c r="D3" s="419"/>
      <c r="E3" s="419"/>
      <c r="F3" s="419"/>
      <c r="G3" s="344"/>
      <c r="H3" s="344"/>
    </row>
    <row r="4" spans="2:8" x14ac:dyDescent="0.25">
      <c r="B4" s="419" t="s">
        <v>387</v>
      </c>
      <c r="C4" s="419"/>
      <c r="D4" s="419"/>
      <c r="E4" s="419"/>
      <c r="F4" s="419"/>
      <c r="G4" s="344"/>
      <c r="H4" s="344"/>
    </row>
    <row r="5" spans="2:8" s="357" customFormat="1" x14ac:dyDescent="0.25">
      <c r="B5" s="368" t="s">
        <v>299</v>
      </c>
      <c r="C5" s="368" t="s">
        <v>300</v>
      </c>
      <c r="D5" s="368" t="s">
        <v>301</v>
      </c>
      <c r="E5" s="368" t="s">
        <v>297</v>
      </c>
      <c r="F5" s="368" t="s">
        <v>258</v>
      </c>
      <c r="G5" s="344"/>
      <c r="H5" s="344"/>
    </row>
    <row r="6" spans="2:8" s="357" customFormat="1" x14ac:dyDescent="0.25">
      <c r="B6" s="368" t="s">
        <v>302</v>
      </c>
      <c r="C6" s="368"/>
      <c r="D6" s="371" t="s">
        <v>303</v>
      </c>
      <c r="E6" s="372">
        <v>3434.76</v>
      </c>
      <c r="F6" s="373" t="s">
        <v>304</v>
      </c>
      <c r="G6" s="342"/>
      <c r="H6" s="342"/>
    </row>
    <row r="7" spans="2:8" x14ac:dyDescent="0.25">
      <c r="B7" s="368" t="s">
        <v>305</v>
      </c>
      <c r="C7" s="368"/>
      <c r="D7" s="371" t="s">
        <v>306</v>
      </c>
      <c r="E7" s="372">
        <v>2907.66</v>
      </c>
      <c r="F7" s="373" t="s">
        <v>304</v>
      </c>
      <c r="G7" s="342"/>
      <c r="H7" s="342"/>
    </row>
    <row r="8" spans="2:8" x14ac:dyDescent="0.25">
      <c r="B8" s="368" t="s">
        <v>307</v>
      </c>
      <c r="C8" s="368"/>
      <c r="D8" s="371" t="s">
        <v>308</v>
      </c>
      <c r="E8" s="372">
        <v>3097.64</v>
      </c>
      <c r="F8" s="373" t="s">
        <v>304</v>
      </c>
      <c r="G8" s="342"/>
      <c r="H8" s="342"/>
    </row>
    <row r="9" spans="2:8" x14ac:dyDescent="0.25">
      <c r="B9" s="368" t="s">
        <v>309</v>
      </c>
      <c r="C9" s="368"/>
      <c r="D9" s="371" t="s">
        <v>310</v>
      </c>
      <c r="E9" s="372">
        <v>3088.75</v>
      </c>
      <c r="F9" s="373" t="s">
        <v>304</v>
      </c>
      <c r="G9" s="342"/>
      <c r="H9" s="342"/>
    </row>
    <row r="10" spans="2:8" x14ac:dyDescent="0.25">
      <c r="B10" s="368" t="s">
        <v>311</v>
      </c>
      <c r="C10" s="368"/>
      <c r="D10" s="371" t="s">
        <v>312</v>
      </c>
      <c r="E10" s="372">
        <v>19520.95</v>
      </c>
      <c r="F10" s="373" t="s">
        <v>304</v>
      </c>
      <c r="G10" s="342"/>
      <c r="H10" s="342"/>
    </row>
    <row r="11" spans="2:8" x14ac:dyDescent="0.25">
      <c r="B11" s="368" t="s">
        <v>313</v>
      </c>
      <c r="C11" s="368"/>
      <c r="D11" s="371" t="s">
        <v>314</v>
      </c>
      <c r="E11" s="372">
        <v>3353.75</v>
      </c>
      <c r="F11" s="373" t="s">
        <v>304</v>
      </c>
      <c r="G11" s="342"/>
      <c r="H11" s="342"/>
    </row>
    <row r="12" spans="2:8" x14ac:dyDescent="0.25">
      <c r="B12" s="368" t="s">
        <v>315</v>
      </c>
      <c r="C12" s="368"/>
      <c r="D12" s="371" t="s">
        <v>316</v>
      </c>
      <c r="E12" s="372">
        <v>2479.54</v>
      </c>
      <c r="F12" s="373" t="s">
        <v>304</v>
      </c>
      <c r="G12" s="342"/>
      <c r="H12" s="342"/>
    </row>
    <row r="13" spans="2:8" x14ac:dyDescent="0.25">
      <c r="B13" s="368" t="s">
        <v>317</v>
      </c>
      <c r="C13" s="368"/>
      <c r="D13" s="371" t="s">
        <v>318</v>
      </c>
      <c r="E13" s="372">
        <v>2876.98</v>
      </c>
      <c r="F13" s="373" t="s">
        <v>304</v>
      </c>
      <c r="G13" s="342"/>
      <c r="H13" s="342"/>
    </row>
    <row r="14" spans="2:8" x14ac:dyDescent="0.25">
      <c r="B14" s="368" t="s">
        <v>319</v>
      </c>
      <c r="C14" s="368"/>
      <c r="D14" s="371" t="s">
        <v>320</v>
      </c>
      <c r="E14" s="372">
        <v>1766.92</v>
      </c>
      <c r="F14" s="373" t="s">
        <v>304</v>
      </c>
      <c r="G14" s="342"/>
      <c r="H14" s="342"/>
    </row>
    <row r="15" spans="2:8" x14ac:dyDescent="0.25">
      <c r="B15" s="368" t="s">
        <v>374</v>
      </c>
      <c r="C15" s="368"/>
      <c r="D15" s="371" t="s">
        <v>376</v>
      </c>
      <c r="E15" s="372">
        <v>2988.49</v>
      </c>
      <c r="F15" s="373" t="s">
        <v>304</v>
      </c>
      <c r="G15" s="342"/>
      <c r="H15" s="342"/>
    </row>
    <row r="16" spans="2:8" x14ac:dyDescent="0.25">
      <c r="B16" s="368" t="s">
        <v>377</v>
      </c>
      <c r="C16" s="368"/>
      <c r="D16" s="371" t="s">
        <v>378</v>
      </c>
      <c r="E16" s="372">
        <v>1829.7</v>
      </c>
      <c r="F16" s="373" t="s">
        <v>304</v>
      </c>
      <c r="G16" s="342"/>
      <c r="H16" s="342"/>
    </row>
    <row r="17" spans="2:8" x14ac:dyDescent="0.25">
      <c r="B17" s="368" t="s">
        <v>379</v>
      </c>
      <c r="C17" s="368"/>
      <c r="D17" s="371" t="s">
        <v>380</v>
      </c>
      <c r="E17" s="372">
        <v>1354.96</v>
      </c>
      <c r="F17" s="373" t="s">
        <v>304</v>
      </c>
      <c r="G17" s="342"/>
      <c r="H17" s="342"/>
    </row>
    <row r="18" spans="2:8" x14ac:dyDescent="0.25">
      <c r="B18" s="421" t="s">
        <v>321</v>
      </c>
      <c r="C18" s="421"/>
      <c r="D18" s="421"/>
      <c r="E18" s="374">
        <f>SUM(E6:E17)/1000</f>
        <v>48.700099999999999</v>
      </c>
      <c r="F18" s="373" t="s">
        <v>16</v>
      </c>
      <c r="G18" s="342"/>
      <c r="H18" s="342"/>
    </row>
    <row r="19" spans="2:8" x14ac:dyDescent="0.25">
      <c r="B19" s="419" t="s">
        <v>322</v>
      </c>
      <c r="C19" s="419"/>
      <c r="D19" s="419"/>
      <c r="E19" s="419"/>
      <c r="F19" s="419"/>
      <c r="G19" s="342"/>
      <c r="H19" s="342"/>
    </row>
    <row r="20" spans="2:8" x14ac:dyDescent="0.25">
      <c r="B20" s="419" t="s">
        <v>390</v>
      </c>
      <c r="C20" s="419"/>
      <c r="D20" s="419"/>
      <c r="E20" s="372">
        <v>91.7</v>
      </c>
      <c r="F20" s="375" t="s">
        <v>16</v>
      </c>
      <c r="G20" s="342"/>
      <c r="H20" s="342"/>
    </row>
    <row r="21" spans="2:8" x14ac:dyDescent="0.25">
      <c r="B21" s="419" t="s">
        <v>391</v>
      </c>
      <c r="C21" s="419"/>
      <c r="D21" s="419"/>
      <c r="E21" s="372">
        <v>91.7</v>
      </c>
      <c r="F21" s="375" t="s">
        <v>16</v>
      </c>
      <c r="G21" s="342"/>
      <c r="H21" s="342"/>
    </row>
    <row r="22" spans="2:8" x14ac:dyDescent="0.25">
      <c r="B22" s="421" t="s">
        <v>323</v>
      </c>
      <c r="C22" s="421"/>
      <c r="D22" s="421"/>
      <c r="E22" s="376">
        <f>SUM(E20:E21)</f>
        <v>183.4</v>
      </c>
      <c r="F22" s="375" t="s">
        <v>16</v>
      </c>
      <c r="G22" s="342"/>
      <c r="H22" s="342"/>
    </row>
    <row r="23" spans="2:8" x14ac:dyDescent="0.25">
      <c r="B23" s="431"/>
      <c r="C23" s="432"/>
      <c r="D23" s="432"/>
      <c r="E23" s="432"/>
      <c r="F23" s="433"/>
      <c r="G23" s="342"/>
      <c r="H23" s="342"/>
    </row>
    <row r="24" spans="2:8" x14ac:dyDescent="0.25">
      <c r="B24" s="421" t="s">
        <v>324</v>
      </c>
      <c r="C24" s="421"/>
      <c r="D24" s="421"/>
      <c r="E24" s="377">
        <f>E18+E22</f>
        <v>232.1001</v>
      </c>
      <c r="F24" s="375" t="s">
        <v>16</v>
      </c>
      <c r="G24" s="342"/>
      <c r="H24" s="342"/>
    </row>
    <row r="25" spans="2:8" x14ac:dyDescent="0.25">
      <c r="B25" s="430"/>
      <c r="C25" s="430"/>
      <c r="D25" s="430"/>
      <c r="E25" s="430"/>
      <c r="F25" s="430"/>
      <c r="G25" s="342"/>
      <c r="H25" s="342"/>
    </row>
    <row r="26" spans="2:8" x14ac:dyDescent="0.25">
      <c r="B26" s="427" t="s">
        <v>392</v>
      </c>
      <c r="C26" s="427"/>
      <c r="D26" s="427"/>
      <c r="E26" s="427"/>
      <c r="F26" s="427"/>
      <c r="G26" s="427"/>
    </row>
    <row r="27" spans="2:8" x14ac:dyDescent="0.25">
      <c r="B27" s="345" t="s">
        <v>384</v>
      </c>
      <c r="C27" s="428" t="s">
        <v>385</v>
      </c>
      <c r="D27" s="429"/>
      <c r="E27" s="345" t="s">
        <v>296</v>
      </c>
      <c r="F27" s="345" t="s">
        <v>297</v>
      </c>
      <c r="G27" s="345" t="s">
        <v>62</v>
      </c>
    </row>
    <row r="28" spans="2:8" x14ac:dyDescent="0.25">
      <c r="B28" s="369" t="s">
        <v>406</v>
      </c>
      <c r="C28" s="348">
        <v>1</v>
      </c>
      <c r="D28" s="349" t="s">
        <v>386</v>
      </c>
      <c r="E28" s="350" t="s">
        <v>298</v>
      </c>
      <c r="F28" s="351">
        <f>E24</f>
        <v>232.1001</v>
      </c>
      <c r="G28" s="351" t="s">
        <v>16</v>
      </c>
    </row>
    <row r="29" spans="2:8" x14ac:dyDescent="0.25">
      <c r="B29" s="422"/>
      <c r="C29" s="423"/>
      <c r="D29" s="423"/>
      <c r="E29" s="422"/>
      <c r="F29" s="422"/>
      <c r="G29" s="422"/>
    </row>
    <row r="30" spans="2:8" x14ac:dyDescent="0.25">
      <c r="B30" s="424" t="s">
        <v>388</v>
      </c>
      <c r="C30" s="425"/>
      <c r="D30" s="425"/>
      <c r="E30" s="426"/>
      <c r="F30" s="363">
        <f>(F28*C28)</f>
        <v>232.1001</v>
      </c>
      <c r="G30" s="358" t="s">
        <v>375</v>
      </c>
    </row>
    <row r="31" spans="2:8" x14ac:dyDescent="0.25">
      <c r="B31" s="420" t="s">
        <v>389</v>
      </c>
      <c r="C31" s="420"/>
      <c r="D31" s="420"/>
      <c r="E31" s="420"/>
      <c r="F31" s="361">
        <f>((F30/7)*30)</f>
        <v>994.71471428571431</v>
      </c>
      <c r="G31" s="362" t="s">
        <v>16</v>
      </c>
    </row>
    <row r="32" spans="2:8" x14ac:dyDescent="0.25">
      <c r="B32" s="420" t="s">
        <v>410</v>
      </c>
      <c r="C32" s="420"/>
      <c r="D32" s="420"/>
      <c r="E32" s="420"/>
      <c r="F32" s="361">
        <f>E18*1/7*30</f>
        <v>208.71471428571428</v>
      </c>
      <c r="G32" s="359" t="s">
        <v>16</v>
      </c>
    </row>
    <row r="33" spans="2:7" x14ac:dyDescent="0.25">
      <c r="B33" s="420" t="s">
        <v>415</v>
      </c>
      <c r="C33" s="420"/>
      <c r="D33" s="420"/>
      <c r="E33" s="420"/>
      <c r="F33" s="361">
        <f>((E22*1/7)*30)</f>
        <v>786</v>
      </c>
      <c r="G33" s="359" t="s">
        <v>16</v>
      </c>
    </row>
  </sheetData>
  <mergeCells count="18">
    <mergeCell ref="B2:F2"/>
    <mergeCell ref="C27:D27"/>
    <mergeCell ref="B26:G26"/>
    <mergeCell ref="B3:F3"/>
    <mergeCell ref="B4:F4"/>
    <mergeCell ref="B18:D18"/>
    <mergeCell ref="B19:F19"/>
    <mergeCell ref="B20:D20"/>
    <mergeCell ref="B21:D21"/>
    <mergeCell ref="B22:D22"/>
    <mergeCell ref="B23:F23"/>
    <mergeCell ref="B31:E31"/>
    <mergeCell ref="B24:D24"/>
    <mergeCell ref="B25:F25"/>
    <mergeCell ref="B32:E32"/>
    <mergeCell ref="B33:E33"/>
    <mergeCell ref="B29:G29"/>
    <mergeCell ref="B30:E30"/>
  </mergeCells>
  <pageMargins left="0.51181102362204722" right="0.51181102362204722" top="0.78740157480314965" bottom="0.78740157480314965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3" sqref="A3"/>
    </sheetView>
  </sheetViews>
  <sheetFormatPr defaultColWidth="8.85546875" defaultRowHeight="15" x14ac:dyDescent="0.25"/>
  <cols>
    <col min="1" max="1" width="18.28515625" style="300" customWidth="1"/>
    <col min="2" max="2" width="14.7109375" style="300" customWidth="1"/>
    <col min="3" max="3" width="15.42578125" style="300" customWidth="1"/>
    <col min="4" max="4" width="8.85546875" style="300"/>
    <col min="5" max="6" width="11.42578125" style="300" hidden="1" customWidth="1"/>
    <col min="7" max="8" width="11.42578125" style="300" bestFit="1" customWidth="1"/>
    <col min="9" max="9" width="8.85546875" style="300"/>
    <col min="10" max="11" width="11.28515625" style="300" bestFit="1" customWidth="1"/>
    <col min="12" max="16384" width="8.85546875" style="300"/>
  </cols>
  <sheetData>
    <row r="1" spans="1:11" x14ac:dyDescent="0.25">
      <c r="A1" s="299" t="s">
        <v>400</v>
      </c>
    </row>
    <row r="2" spans="1:11" x14ac:dyDescent="0.25">
      <c r="A2" s="299" t="s">
        <v>401</v>
      </c>
    </row>
    <row r="3" spans="1:11" x14ac:dyDescent="0.25">
      <c r="A3" s="299" t="s">
        <v>383</v>
      </c>
    </row>
    <row r="4" spans="1:11" x14ac:dyDescent="0.25">
      <c r="A4" s="299"/>
    </row>
    <row r="5" spans="1:11" x14ac:dyDescent="0.25">
      <c r="A5" s="434" t="s">
        <v>293</v>
      </c>
      <c r="B5" s="435"/>
      <c r="C5" s="436"/>
      <c r="E5" s="340" t="s">
        <v>381</v>
      </c>
      <c r="F5" s="340" t="s">
        <v>381</v>
      </c>
    </row>
    <row r="6" spans="1:11" x14ac:dyDescent="0.25">
      <c r="A6" s="301" t="s">
        <v>285</v>
      </c>
      <c r="B6" s="301" t="s">
        <v>288</v>
      </c>
      <c r="C6" s="301" t="s">
        <v>289</v>
      </c>
      <c r="E6" s="307">
        <v>108.51</v>
      </c>
      <c r="F6" s="307"/>
    </row>
    <row r="7" spans="1:11" x14ac:dyDescent="0.25">
      <c r="A7" s="302">
        <v>1</v>
      </c>
      <c r="B7" s="303">
        <v>43221</v>
      </c>
      <c r="C7" s="304">
        <v>62</v>
      </c>
      <c r="E7" s="307"/>
      <c r="F7" s="307"/>
    </row>
    <row r="8" spans="1:11" x14ac:dyDescent="0.25">
      <c r="A8" s="302">
        <v>2</v>
      </c>
      <c r="B8" s="303">
        <v>43252</v>
      </c>
      <c r="C8" s="304">
        <v>65</v>
      </c>
      <c r="E8" s="307"/>
      <c r="F8" s="307"/>
      <c r="G8" s="338"/>
      <c r="H8" s="338"/>
    </row>
    <row r="9" spans="1:11" x14ac:dyDescent="0.25">
      <c r="A9" s="302">
        <v>3</v>
      </c>
      <c r="B9" s="303">
        <v>43282</v>
      </c>
      <c r="C9" s="304">
        <v>67</v>
      </c>
      <c r="E9" s="297">
        <v>167002.32</v>
      </c>
      <c r="F9" s="297">
        <v>149423.01999999999</v>
      </c>
      <c r="G9" s="339"/>
      <c r="H9" s="339"/>
    </row>
    <row r="10" spans="1:11" x14ac:dyDescent="0.25">
      <c r="A10" s="302">
        <v>4</v>
      </c>
      <c r="B10" s="303">
        <v>43313</v>
      </c>
      <c r="C10" s="304">
        <v>75</v>
      </c>
      <c r="E10" s="297">
        <v>161699.19</v>
      </c>
      <c r="F10" s="297">
        <v>162196.92000000001</v>
      </c>
      <c r="G10" s="339"/>
      <c r="H10" s="339"/>
    </row>
    <row r="11" spans="1:11" x14ac:dyDescent="0.25">
      <c r="A11" s="302">
        <v>5</v>
      </c>
      <c r="B11" s="303">
        <v>43344</v>
      </c>
      <c r="C11" s="304">
        <v>68</v>
      </c>
      <c r="E11" s="297">
        <v>208994.6</v>
      </c>
      <c r="F11" s="297">
        <v>184293.52</v>
      </c>
      <c r="G11" s="339"/>
      <c r="H11" s="339"/>
    </row>
    <row r="12" spans="1:11" x14ac:dyDescent="0.25">
      <c r="A12" s="302">
        <v>6</v>
      </c>
      <c r="B12" s="303">
        <v>43374</v>
      </c>
      <c r="C12" s="304">
        <v>69</v>
      </c>
      <c r="E12" s="297">
        <v>206941.59</v>
      </c>
      <c r="F12" s="297">
        <v>188710.15</v>
      </c>
      <c r="G12" s="339"/>
      <c r="H12" s="339"/>
    </row>
    <row r="13" spans="1:11" x14ac:dyDescent="0.25">
      <c r="A13" s="302">
        <v>7</v>
      </c>
      <c r="B13" s="303">
        <v>43405</v>
      </c>
      <c r="C13" s="304">
        <v>68</v>
      </c>
      <c r="E13" s="297">
        <v>196574.55</v>
      </c>
      <c r="F13" s="297">
        <v>173346.67</v>
      </c>
      <c r="G13" s="339"/>
      <c r="H13" s="339"/>
    </row>
    <row r="14" spans="1:11" x14ac:dyDescent="0.25">
      <c r="A14" s="302">
        <v>8</v>
      </c>
      <c r="B14" s="303">
        <v>43435</v>
      </c>
      <c r="C14" s="304">
        <v>70</v>
      </c>
      <c r="E14" s="297">
        <v>205827.19</v>
      </c>
      <c r="F14" s="297">
        <v>185553.22</v>
      </c>
      <c r="G14" s="339"/>
      <c r="H14" s="339"/>
    </row>
    <row r="15" spans="1:11" x14ac:dyDescent="0.25">
      <c r="A15" s="302">
        <v>9</v>
      </c>
      <c r="B15" s="303">
        <v>43466</v>
      </c>
      <c r="C15" s="304">
        <v>71</v>
      </c>
      <c r="E15" s="297">
        <v>207811.84</v>
      </c>
      <c r="F15" s="297">
        <v>191612.26</v>
      </c>
      <c r="G15" s="339"/>
      <c r="H15" s="339"/>
      <c r="J15" s="309"/>
      <c r="K15" s="309"/>
    </row>
    <row r="16" spans="1:11" x14ac:dyDescent="0.25">
      <c r="A16" s="302">
        <v>10</v>
      </c>
      <c r="B16" s="303">
        <v>43497</v>
      </c>
      <c r="C16" s="304">
        <v>59</v>
      </c>
      <c r="E16" s="297">
        <v>195773.74</v>
      </c>
      <c r="F16" s="297">
        <v>179339.36</v>
      </c>
      <c r="G16" s="339"/>
      <c r="H16" s="339"/>
    </row>
    <row r="17" spans="1:8" x14ac:dyDescent="0.25">
      <c r="A17" s="302">
        <v>11</v>
      </c>
      <c r="B17" s="303">
        <v>43525</v>
      </c>
      <c r="C17" s="304">
        <v>62</v>
      </c>
      <c r="E17" s="297">
        <v>225578</v>
      </c>
      <c r="F17" s="297"/>
      <c r="G17" s="339"/>
      <c r="H17" s="339"/>
    </row>
    <row r="18" spans="1:8" x14ac:dyDescent="0.25">
      <c r="A18" s="302">
        <v>12</v>
      </c>
      <c r="B18" s="303">
        <v>43556</v>
      </c>
      <c r="C18" s="304">
        <v>58</v>
      </c>
      <c r="E18" s="297">
        <v>180218</v>
      </c>
      <c r="F18" s="297">
        <v>182712</v>
      </c>
      <c r="G18" s="339"/>
      <c r="H18" s="339"/>
    </row>
    <row r="19" spans="1:8" x14ac:dyDescent="0.25">
      <c r="A19" s="302"/>
      <c r="B19" s="302"/>
      <c r="C19" s="302"/>
    </row>
    <row r="20" spans="1:8" x14ac:dyDescent="0.25">
      <c r="A20" s="434" t="s">
        <v>290</v>
      </c>
      <c r="B20" s="436"/>
      <c r="C20" s="310">
        <f>SUM(C7:C19)</f>
        <v>794</v>
      </c>
    </row>
    <row r="21" spans="1:8" x14ac:dyDescent="0.25">
      <c r="A21" s="306" t="s">
        <v>291</v>
      </c>
      <c r="B21" s="307"/>
      <c r="C21" s="308">
        <v>12</v>
      </c>
    </row>
    <row r="22" spans="1:8" x14ac:dyDescent="0.25">
      <c r="A22" s="306" t="s">
        <v>292</v>
      </c>
      <c r="B22" s="307"/>
      <c r="C22" s="316">
        <f>C20/C21</f>
        <v>66.166666666666671</v>
      </c>
      <c r="G22" s="309"/>
    </row>
    <row r="24" spans="1:8" x14ac:dyDescent="0.25">
      <c r="C24" s="379"/>
      <c r="E24" s="305"/>
    </row>
    <row r="25" spans="1:8" x14ac:dyDescent="0.25">
      <c r="E25" s="309"/>
    </row>
    <row r="27" spans="1:8" x14ac:dyDescent="0.25">
      <c r="E27" s="311"/>
    </row>
  </sheetData>
  <mergeCells count="2">
    <mergeCell ref="A5:C5"/>
    <mergeCell ref="A20:B20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6</vt:i4>
      </vt:variant>
    </vt:vector>
  </HeadingPairs>
  <TitlesOfParts>
    <vt:vector size="17" baseType="lpstr">
      <vt:lpstr>1. Coleta Domiciliar</vt:lpstr>
      <vt:lpstr>2. Coleta Seletiva</vt:lpstr>
      <vt:lpstr>3.Encargos Sociais</vt:lpstr>
      <vt:lpstr>4.CAGED</vt:lpstr>
      <vt:lpstr>5.BDI</vt:lpstr>
      <vt:lpstr>6. Depreciação</vt:lpstr>
      <vt:lpstr>Rotas Org</vt:lpstr>
      <vt:lpstr>Rotas selet </vt:lpstr>
      <vt:lpstr>Ton</vt:lpstr>
      <vt:lpstr>Horários</vt:lpstr>
      <vt:lpstr>Memória</vt:lpstr>
      <vt:lpstr>AbaDeprec</vt:lpstr>
      <vt:lpstr>'1. Coleta Domiciliar'!Area_de_impressao</vt:lpstr>
      <vt:lpstr>'2. Coleta Seletiva'!Area_de_impressao</vt:lpstr>
      <vt:lpstr>'3.Encargos Sociais'!Area_de_impressao</vt:lpstr>
      <vt:lpstr>'1. Coleta Domiciliar'!Titulos_de_impressao</vt:lpstr>
      <vt:lpstr>'2. Coleta Seletiva'!Titulos_de_impressao</vt:lpstr>
    </vt:vector>
  </TitlesOfParts>
  <Company>dmlu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User</cp:lastModifiedBy>
  <cp:lastPrinted>2019-10-23T23:22:23Z</cp:lastPrinted>
  <dcterms:created xsi:type="dcterms:W3CDTF">2000-12-13T10:02:50Z</dcterms:created>
  <dcterms:modified xsi:type="dcterms:W3CDTF">2019-11-04T13:57:31Z</dcterms:modified>
</cp:coreProperties>
</file>