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ocuments\000001-LICITAÇOES\2022\CONCORRENCIA\ATUAL\DOC -ENGENHARIA 16-08-22\"/>
    </mc:Choice>
  </mc:AlternateContent>
  <bookViews>
    <workbookView xWindow="0" yWindow="0" windowWidth="16815" windowHeight="7755"/>
  </bookViews>
  <sheets>
    <sheet name="Orçamento " sheetId="7" r:id="rId1"/>
    <sheet name="Cronograma" sheetId="8" r:id="rId2"/>
    <sheet name="BDI" sheetId="11" r:id="rId3"/>
    <sheet name="Composições " sheetId="10" r:id="rId4"/>
    <sheet name="Memória de cálculo" sheetId="12" r:id="rId5"/>
  </sheets>
  <definedNames>
    <definedName name="_xlnm.Print_Area" localSheetId="3">'Composições '!$A$1:$G$128</definedName>
    <definedName name="_xlnm.Print_Area" localSheetId="1">Cronograma!$A$1:$AI$29</definedName>
    <definedName name="_xlnm.Print_Area" localSheetId="4">'Memória de cálculo'!$A$1:$F$71</definedName>
    <definedName name="_xlnm.Print_Area" localSheetId="0">'Orçamento '!$A$1:$H$73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2" l="1"/>
  <c r="F33" i="12" s="1"/>
  <c r="F29" i="12"/>
  <c r="F30" i="12" s="1"/>
  <c r="F62" i="12"/>
  <c r="F61" i="12"/>
  <c r="F60" i="12"/>
  <c r="F59" i="12"/>
  <c r="F49" i="12"/>
  <c r="F52" i="12" s="1"/>
  <c r="F43" i="12"/>
  <c r="F45" i="12" s="1"/>
  <c r="F41" i="12"/>
  <c r="F39" i="12" s="1"/>
  <c r="F22" i="12"/>
  <c r="F18" i="12"/>
  <c r="F17" i="12"/>
  <c r="F23" i="12" s="1"/>
  <c r="E30" i="7"/>
  <c r="E18" i="7"/>
  <c r="E17" i="7"/>
  <c r="E23" i="7" s="1"/>
  <c r="E60" i="7"/>
  <c r="E59" i="7"/>
  <c r="E62" i="7"/>
  <c r="E61" i="7"/>
  <c r="E65" i="10"/>
  <c r="F65" i="10"/>
  <c r="E34" i="7"/>
  <c r="E32" i="7"/>
  <c r="F52" i="7"/>
  <c r="F50" i="7"/>
  <c r="F43" i="7"/>
  <c r="F13" i="7"/>
  <c r="F14" i="7"/>
  <c r="G124" i="10"/>
  <c r="G122" i="10"/>
  <c r="G120" i="10"/>
  <c r="G119" i="10"/>
  <c r="G118" i="10"/>
  <c r="E117" i="10"/>
  <c r="G117" i="10" s="1"/>
  <c r="G116" i="10"/>
  <c r="E115" i="10"/>
  <c r="G115" i="10" s="1"/>
  <c r="G123" i="10" s="1"/>
  <c r="G109" i="10"/>
  <c r="G107" i="10"/>
  <c r="G106" i="10"/>
  <c r="G105" i="10"/>
  <c r="G104" i="10"/>
  <c r="G103" i="10"/>
  <c r="G102" i="10"/>
  <c r="G101" i="10"/>
  <c r="G110" i="10" s="1"/>
  <c r="F38" i="12" l="1"/>
  <c r="F40" i="12" s="1"/>
  <c r="F13" i="12"/>
  <c r="F37" i="12"/>
  <c r="F44" i="12"/>
  <c r="F50" i="12"/>
  <c r="F51" i="12"/>
  <c r="F34" i="12"/>
  <c r="F12" i="7"/>
  <c r="G95" i="10"/>
  <c r="G94" i="10"/>
  <c r="G93" i="10"/>
  <c r="G92" i="10"/>
  <c r="G91" i="10"/>
  <c r="G90" i="10"/>
  <c r="G89" i="10"/>
  <c r="G88" i="10"/>
  <c r="G96" i="10" s="1"/>
  <c r="F11" i="7"/>
  <c r="G84" i="10"/>
  <c r="G83" i="10"/>
  <c r="G82" i="10"/>
  <c r="G81" i="10"/>
  <c r="G80" i="10"/>
  <c r="G79" i="10"/>
  <c r="G78" i="10"/>
  <c r="G77" i="10"/>
  <c r="G76" i="10"/>
  <c r="G75" i="10"/>
  <c r="G74" i="10"/>
  <c r="G73" i="10"/>
  <c r="G68" i="10"/>
  <c r="G67" i="10"/>
  <c r="G66" i="10"/>
  <c r="G65" i="10"/>
  <c r="G69" i="10" s="1"/>
  <c r="F41" i="7" s="1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61" i="10" s="1"/>
  <c r="F33" i="10" s="1"/>
  <c r="G33" i="10" s="1"/>
  <c r="G44" i="10" s="1"/>
  <c r="G43" i="10"/>
  <c r="G42" i="10"/>
  <c r="G41" i="10"/>
  <c r="G40" i="10"/>
  <c r="G39" i="10"/>
  <c r="G38" i="10"/>
  <c r="G37" i="10"/>
  <c r="G36" i="10"/>
  <c r="G35" i="10"/>
  <c r="G34" i="10"/>
  <c r="F53" i="12" l="1"/>
  <c r="F54" i="12"/>
  <c r="G85" i="10"/>
  <c r="A48" i="11" l="1"/>
  <c r="A49" i="11" s="1"/>
  <c r="C49" i="11" s="1"/>
  <c r="C47" i="11"/>
  <c r="A42" i="11"/>
  <c r="A43" i="11" s="1"/>
  <c r="C41" i="11"/>
  <c r="M31" i="11"/>
  <c r="M30" i="11"/>
  <c r="L30" i="11"/>
  <c r="A29" i="11"/>
  <c r="A32" i="11" s="1"/>
  <c r="C28" i="11"/>
  <c r="A28" i="11"/>
  <c r="O27" i="11"/>
  <c r="N27" i="11"/>
  <c r="C27" i="11"/>
  <c r="N26" i="11"/>
  <c r="H7" i="7" s="1"/>
  <c r="N25" i="11"/>
  <c r="O25" i="11" s="1"/>
  <c r="A23" i="11"/>
  <c r="A24" i="11" s="1"/>
  <c r="M22" i="11"/>
  <c r="I22" i="11"/>
  <c r="A22" i="11"/>
  <c r="C22" i="11" s="1"/>
  <c r="M21" i="11"/>
  <c r="I21" i="11"/>
  <c r="C21" i="11"/>
  <c r="M20" i="11"/>
  <c r="I20" i="11"/>
  <c r="M19" i="11"/>
  <c r="I19" i="11"/>
  <c r="M18" i="11"/>
  <c r="I18" i="11"/>
  <c r="A17" i="11"/>
  <c r="A18" i="11" s="1"/>
  <c r="A15" i="11"/>
  <c r="C15" i="11" s="1"/>
  <c r="C14" i="11"/>
  <c r="C13" i="11"/>
  <c r="C12" i="11"/>
  <c r="C11" i="11"/>
  <c r="C10" i="11"/>
  <c r="C9" i="11"/>
  <c r="C8" i="11"/>
  <c r="A3" i="11"/>
  <c r="A4" i="11" s="1"/>
  <c r="C2" i="11"/>
  <c r="G61" i="7" l="1"/>
  <c r="H61" i="7" s="1"/>
  <c r="G18" i="7"/>
  <c r="H18" i="7" s="1"/>
  <c r="G48" i="7"/>
  <c r="H48" i="7" s="1"/>
  <c r="G25" i="7"/>
  <c r="H25" i="7" s="1"/>
  <c r="G24" i="7"/>
  <c r="H24" i="7" s="1"/>
  <c r="G29" i="7"/>
  <c r="H29" i="7" s="1"/>
  <c r="G45" i="7"/>
  <c r="G58" i="7"/>
  <c r="H58" i="7" s="1"/>
  <c r="G20" i="7"/>
  <c r="H20" i="7" s="1"/>
  <c r="G21" i="7"/>
  <c r="H21" i="7" s="1"/>
  <c r="G30" i="7"/>
  <c r="H30" i="7" s="1"/>
  <c r="G54" i="7"/>
  <c r="G62" i="7"/>
  <c r="H62" i="7" s="1"/>
  <c r="G17" i="7"/>
  <c r="H17" i="7" s="1"/>
  <c r="G22" i="7"/>
  <c r="G50" i="7"/>
  <c r="G32" i="7"/>
  <c r="H32" i="7" s="1"/>
  <c r="G33" i="7"/>
  <c r="G34" i="7"/>
  <c r="G13" i="7"/>
  <c r="H13" i="7" s="1"/>
  <c r="G19" i="7"/>
  <c r="H19" i="7" s="1"/>
  <c r="G59" i="7"/>
  <c r="H59" i="7" s="1"/>
  <c r="G52" i="7"/>
  <c r="G44" i="7"/>
  <c r="G38" i="7"/>
  <c r="G39" i="7"/>
  <c r="G23" i="7"/>
  <c r="H23" i="7" s="1"/>
  <c r="G14" i="7"/>
  <c r="H14" i="7" s="1"/>
  <c r="G40" i="7"/>
  <c r="G57" i="7"/>
  <c r="H57" i="7" s="1"/>
  <c r="G42" i="7"/>
  <c r="H42" i="7" s="1"/>
  <c r="G49" i="7"/>
  <c r="G43" i="7"/>
  <c r="G60" i="7"/>
  <c r="H60" i="7" s="1"/>
  <c r="G51" i="7"/>
  <c r="G37" i="7"/>
  <c r="G53" i="7"/>
  <c r="G11" i="7"/>
  <c r="H11" i="7" s="1"/>
  <c r="G41" i="7"/>
  <c r="G12" i="7"/>
  <c r="H12" i="7" s="1"/>
  <c r="C18" i="11"/>
  <c r="A19" i="11"/>
  <c r="C24" i="11"/>
  <c r="A25" i="11"/>
  <c r="A33" i="11"/>
  <c r="C32" i="11"/>
  <c r="A44" i="11"/>
  <c r="C43" i="11"/>
  <c r="A5" i="11"/>
  <c r="C4" i="11"/>
  <c r="C23" i="11"/>
  <c r="C29" i="11"/>
  <c r="C42" i="11"/>
  <c r="C48" i="11"/>
  <c r="C17" i="11"/>
  <c r="C3" i="11"/>
  <c r="A45" i="11" l="1"/>
  <c r="C44" i="11"/>
  <c r="A37" i="11"/>
  <c r="C37" i="11" s="1"/>
  <c r="C33" i="11"/>
  <c r="A26" i="11"/>
  <c r="C26" i="11" s="1"/>
  <c r="C25" i="11"/>
  <c r="A6" i="11"/>
  <c r="C5" i="11"/>
  <c r="C19" i="11"/>
  <c r="A20" i="11"/>
  <c r="C20" i="11" s="1"/>
  <c r="A7" i="11" l="1"/>
  <c r="C7" i="11" s="1"/>
  <c r="C6" i="11"/>
  <c r="P20" i="11" s="1"/>
  <c r="P22" i="11"/>
  <c r="A46" i="11"/>
  <c r="C46" i="11" s="1"/>
  <c r="C45" i="11"/>
  <c r="R22" i="11" l="1"/>
  <c r="R26" i="11"/>
  <c r="Q26" i="11"/>
  <c r="R19" i="11"/>
  <c r="R21" i="11"/>
  <c r="Q20" i="11"/>
  <c r="R18" i="11"/>
  <c r="P26" i="11"/>
  <c r="O26" i="11" s="1"/>
  <c r="Q21" i="11"/>
  <c r="P21" i="11"/>
  <c r="P19" i="11"/>
  <c r="Q19" i="11"/>
  <c r="R20" i="11"/>
  <c r="Q18" i="11"/>
  <c r="P18" i="11"/>
  <c r="Q22" i="11"/>
  <c r="E43" i="7" l="1"/>
  <c r="H43" i="7" l="1"/>
  <c r="AE10" i="8"/>
  <c r="AE11" i="8"/>
  <c r="AE12" i="8"/>
  <c r="AE13" i="8"/>
  <c r="AE14" i="8"/>
  <c r="AE9" i="8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2" i="10"/>
  <c r="G11" i="10"/>
  <c r="G10" i="10"/>
  <c r="G9" i="10"/>
  <c r="G8" i="10"/>
  <c r="G7" i="10"/>
  <c r="G6" i="10"/>
  <c r="G5" i="10"/>
  <c r="G3" i="10"/>
  <c r="G2" i="10"/>
  <c r="G30" i="10" l="1"/>
  <c r="F4" i="10" s="1"/>
  <c r="G4" i="10" s="1"/>
  <c r="G13" i="10" s="1"/>
  <c r="E22" i="7" l="1"/>
  <c r="H22" i="7" s="1"/>
  <c r="E41" i="7" l="1"/>
  <c r="H41" i="7" l="1"/>
  <c r="E44" i="7"/>
  <c r="H44" i="7" s="1"/>
  <c r="E39" i="7"/>
  <c r="H39" i="7" s="1"/>
  <c r="E38" i="7"/>
  <c r="E33" i="7"/>
  <c r="H33" i="7" s="1"/>
  <c r="H38" i="7" l="1"/>
  <c r="E40" i="7"/>
  <c r="B14" i="8"/>
  <c r="B13" i="8"/>
  <c r="B12" i="8"/>
  <c r="B11" i="8"/>
  <c r="B10" i="8"/>
  <c r="B9" i="8"/>
  <c r="E37" i="7" l="1"/>
  <c r="H37" i="7" s="1"/>
  <c r="H34" i="7"/>
  <c r="E49" i="7" l="1"/>
  <c r="E50" i="7" l="1"/>
  <c r="H49" i="7"/>
  <c r="H40" i="7"/>
  <c r="H35" i="7"/>
  <c r="C11" i="8" s="1"/>
  <c r="H15" i="7"/>
  <c r="C9" i="8" s="1"/>
  <c r="F9" i="8" s="1"/>
  <c r="H26" i="7"/>
  <c r="C10" i="8" s="1"/>
  <c r="H63" i="7"/>
  <c r="E52" i="7"/>
  <c r="H52" i="7" s="1"/>
  <c r="E51" i="7"/>
  <c r="H51" i="7" s="1"/>
  <c r="H50" i="7" l="1"/>
  <c r="E53" i="7"/>
  <c r="H53" i="7" s="1"/>
  <c r="E11" i="8"/>
  <c r="F11" i="8" s="1"/>
  <c r="E10" i="8"/>
  <c r="C14" i="8"/>
  <c r="E45" i="7"/>
  <c r="T11" i="8"/>
  <c r="P11" i="8"/>
  <c r="AB11" i="8"/>
  <c r="X11" i="8"/>
  <c r="H11" i="8"/>
  <c r="L11" i="8"/>
  <c r="H9" i="8"/>
  <c r="J9" i="8" s="1"/>
  <c r="X9" i="8"/>
  <c r="Z9" i="8" s="1"/>
  <c r="AB9" i="8"/>
  <c r="AD9" i="8" s="1"/>
  <c r="L9" i="8"/>
  <c r="N9" i="8" s="1"/>
  <c r="P9" i="8"/>
  <c r="R9" i="8" s="1"/>
  <c r="T9" i="8"/>
  <c r="V9" i="8" s="1"/>
  <c r="X10" i="8"/>
  <c r="L10" i="8"/>
  <c r="AB10" i="8"/>
  <c r="P10" i="8"/>
  <c r="H10" i="8"/>
  <c r="T10" i="8"/>
  <c r="E54" i="7"/>
  <c r="H54" i="7" s="1"/>
  <c r="H45" i="7" l="1"/>
  <c r="H46" i="7" s="1"/>
  <c r="C12" i="8" s="1"/>
  <c r="F10" i="8"/>
  <c r="Q11" i="8"/>
  <c r="R11" i="8" s="1"/>
  <c r="M10" i="8"/>
  <c r="U11" i="8"/>
  <c r="V11" i="8" s="1"/>
  <c r="I10" i="8"/>
  <c r="I11" i="8"/>
  <c r="J11" i="8" s="1"/>
  <c r="U10" i="8"/>
  <c r="M11" i="8"/>
  <c r="N11" i="8" s="1"/>
  <c r="Q10" i="8"/>
  <c r="AB14" i="8"/>
  <c r="E14" i="8"/>
  <c r="F14" i="8" s="1"/>
  <c r="L14" i="8"/>
  <c r="X14" i="8"/>
  <c r="T14" i="8"/>
  <c r="U14" i="8" s="1"/>
  <c r="P14" i="8"/>
  <c r="H14" i="8"/>
  <c r="H55" i="7"/>
  <c r="C13" i="8" s="1"/>
  <c r="R10" i="8" l="1"/>
  <c r="J10" i="8"/>
  <c r="N10" i="8"/>
  <c r="V10" i="8"/>
  <c r="AC14" i="8"/>
  <c r="AD14" i="8" s="1"/>
  <c r="M14" i="8"/>
  <c r="N14" i="8" s="1"/>
  <c r="I14" i="8"/>
  <c r="J14" i="8" s="1"/>
  <c r="Q14" i="8"/>
  <c r="R14" i="8" s="1"/>
  <c r="AB13" i="8"/>
  <c r="E13" i="8"/>
  <c r="F13" i="8" s="1"/>
  <c r="H12" i="8"/>
  <c r="E12" i="8"/>
  <c r="L13" i="8"/>
  <c r="X13" i="8"/>
  <c r="H13" i="8"/>
  <c r="T13" i="8"/>
  <c r="H64" i="7"/>
  <c r="P13" i="8"/>
  <c r="L12" i="8"/>
  <c r="C21" i="8"/>
  <c r="D12" i="8" s="1"/>
  <c r="AB12" i="8"/>
  <c r="X12" i="8"/>
  <c r="T12" i="8"/>
  <c r="P12" i="8"/>
  <c r="AC12" i="8" l="1"/>
  <c r="AC13" i="8"/>
  <c r="AD13" i="8" s="1"/>
  <c r="F12" i="8"/>
  <c r="F18" i="8" s="1"/>
  <c r="E18" i="8"/>
  <c r="L15" i="8"/>
  <c r="K15" i="8" s="1"/>
  <c r="M12" i="8"/>
  <c r="Q12" i="8"/>
  <c r="R12" i="8" s="1"/>
  <c r="Q13" i="8"/>
  <c r="R13" i="8" s="1"/>
  <c r="I12" i="8"/>
  <c r="Y13" i="8"/>
  <c r="Z13" i="8" s="1"/>
  <c r="M13" i="8"/>
  <c r="N13" i="8" s="1"/>
  <c r="U12" i="8"/>
  <c r="Y12" i="8"/>
  <c r="U13" i="8"/>
  <c r="V13" i="8" s="1"/>
  <c r="I13" i="8"/>
  <c r="J13" i="8" s="1"/>
  <c r="AB15" i="8"/>
  <c r="AA15" i="8" s="1"/>
  <c r="X15" i="8"/>
  <c r="W15" i="8" s="1"/>
  <c r="H15" i="8"/>
  <c r="H21" i="8" s="1"/>
  <c r="G21" i="8" s="1"/>
  <c r="P15" i="8"/>
  <c r="O15" i="8" s="1"/>
  <c r="T15" i="8"/>
  <c r="S15" i="8" s="1"/>
  <c r="D13" i="8"/>
  <c r="D14" i="8"/>
  <c r="D11" i="8"/>
  <c r="D10" i="8"/>
  <c r="D9" i="8"/>
  <c r="R18" i="8" l="1"/>
  <c r="M18" i="8"/>
  <c r="Y18" i="8"/>
  <c r="Z12" i="8"/>
  <c r="Z18" i="8" s="1"/>
  <c r="Q18" i="8"/>
  <c r="AC18" i="8"/>
  <c r="V12" i="8"/>
  <c r="V18" i="8" s="1"/>
  <c r="U18" i="8"/>
  <c r="J12" i="8"/>
  <c r="J18" i="8" s="1"/>
  <c r="I18" i="8"/>
  <c r="N12" i="8"/>
  <c r="N18" i="8" s="1"/>
  <c r="AD12" i="8"/>
  <c r="AD18" i="8" s="1"/>
  <c r="L21" i="8"/>
  <c r="K21" i="8" s="1"/>
  <c r="G15" i="8"/>
  <c r="D21" i="8"/>
  <c r="Q19" i="8" l="1"/>
  <c r="M19" i="8"/>
  <c r="Y19" i="8"/>
  <c r="U19" i="8"/>
  <c r="AC19" i="8"/>
  <c r="I19" i="8"/>
  <c r="P21" i="8"/>
  <c r="T21" i="8" s="1"/>
  <c r="O21" i="8" l="1"/>
  <c r="S21" i="8"/>
  <c r="X21" i="8"/>
  <c r="W21" i="8" l="1"/>
  <c r="AB21" i="8"/>
  <c r="AA21" i="8" s="1"/>
</calcChain>
</file>

<file path=xl/sharedStrings.xml><?xml version="1.0" encoding="utf-8"?>
<sst xmlns="http://schemas.openxmlformats.org/spreadsheetml/2006/main" count="965" uniqueCount="435">
  <si>
    <t>Item</t>
  </si>
  <si>
    <t>Descrição</t>
  </si>
  <si>
    <t>Un.</t>
  </si>
  <si>
    <t>Quant</t>
  </si>
  <si>
    <t>VALOR UNITÁRIO</t>
  </si>
  <si>
    <t>VALOR TOTAL</t>
  </si>
  <si>
    <t>SEM BDI</t>
  </si>
  <si>
    <t>COM BDI</t>
  </si>
  <si>
    <t>1.1</t>
  </si>
  <si>
    <t>m²</t>
  </si>
  <si>
    <t>1.2</t>
  </si>
  <si>
    <t>m³</t>
  </si>
  <si>
    <t>1.3</t>
  </si>
  <si>
    <t>tonxkm</t>
  </si>
  <si>
    <t xml:space="preserve">PLANILHA ORÇAMENTARIA </t>
  </si>
  <si>
    <t>96396</t>
  </si>
  <si>
    <t>93590</t>
  </si>
  <si>
    <t>m³xkm</t>
  </si>
  <si>
    <t>EMPREENDIMENTO: EXECUÇÃO DE PAVIMENTAÇÃO ASFÁLTICA</t>
  </si>
  <si>
    <t xml:space="preserve"> Secretaria Municipal de Desenvolvimento Urbano</t>
  </si>
  <si>
    <t>MUNICÍPIO DE AUGUSTO PESTANA</t>
  </si>
  <si>
    <t>Pintura de Ligação RR 2C</t>
  </si>
  <si>
    <t>BDI=</t>
  </si>
  <si>
    <t>Transp. de Macadame/Base B.G.S. DMT 40,0 km</t>
  </si>
  <si>
    <t>Transporte de C.B.U.Q DMT - 40 km</t>
  </si>
  <si>
    <t>Mobilização e Desmobilização de Equipamentos</t>
  </si>
  <si>
    <t>ADMINISTRAÇÃO</t>
  </si>
  <si>
    <t>h</t>
  </si>
  <si>
    <t>Mês</t>
  </si>
  <si>
    <t>1.0</t>
  </si>
  <si>
    <t>DRENAGEM PLUVIAL</t>
  </si>
  <si>
    <t>2.0</t>
  </si>
  <si>
    <t>2.1</t>
  </si>
  <si>
    <t>2.2</t>
  </si>
  <si>
    <t>Unid</t>
  </si>
  <si>
    <t>TERRAPLENAGEM</t>
  </si>
  <si>
    <t>3.0</t>
  </si>
  <si>
    <t>m</t>
  </si>
  <si>
    <t>2.3</t>
  </si>
  <si>
    <t>2.4</t>
  </si>
  <si>
    <t>2.5</t>
  </si>
  <si>
    <t>4.0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</si>
  <si>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</si>
  <si>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</si>
  <si>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</si>
  <si>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</si>
  <si>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</si>
  <si>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</si>
  <si>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</si>
  <si>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</si>
  <si>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</si>
  <si>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</si>
  <si>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</si>
  <si>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5.0</t>
  </si>
  <si>
    <t>5.1</t>
  </si>
  <si>
    <t>5.2</t>
  </si>
  <si>
    <t>5.3</t>
  </si>
  <si>
    <t>5.4</t>
  </si>
  <si>
    <t>5.5</t>
  </si>
  <si>
    <t>Limpeza, varredura de Vias Urbanas</t>
  </si>
  <si>
    <t>Reperfilamento Asfáltico - Binder 2,0cm</t>
  </si>
  <si>
    <t>5.6</t>
  </si>
  <si>
    <t>5.7</t>
  </si>
  <si>
    <t>Capeamento Asfáltico CBUQ 3,00cm</t>
  </si>
  <si>
    <t>SINALIZAÇÃO VIÁRIA</t>
  </si>
  <si>
    <t>Placa de Sinalização Refletiva</t>
  </si>
  <si>
    <t xml:space="preserve">Tubo de Aço Galvanizado 2 1/2" </t>
  </si>
  <si>
    <t>ORÇAMENTO TOTAL</t>
  </si>
  <si>
    <t>PAVIMENTAÇÃO - CBUQ SOBRE BASE</t>
  </si>
  <si>
    <t>PAVIMENTAÇÃO - CBUQ SOBRE CALÇAMENTO</t>
  </si>
  <si>
    <t>EXECUÇÃO DE PAVIMENTO COM APLICAÇÃO DE CONCRETO ASFÁLTICO, CAMADA DE ROLAMENTO - EXCLUSIVE CARGA E TRANSPORTE. AF_11/2019</t>
  </si>
  <si>
    <t>M3</t>
  </si>
  <si>
    <t>COEF.</t>
  </si>
  <si>
    <t>Valor Unitário</t>
  </si>
  <si>
    <t>Valor Total</t>
  </si>
  <si>
    <t>COMPOSICAO</t>
  </si>
  <si>
    <t>USINAGEM CONCRETO BETUMINOSO USINADO A QUENTE (CBUQ) PARA PAVIMENTACAO ASFALTICA, PADRAO DNIT, FAIXA C, COM CAP 50/70</t>
  </si>
  <si>
    <t>T</t>
  </si>
  <si>
    <t>2,5548000</t>
  </si>
  <si>
    <t>5835</t>
  </si>
  <si>
    <t>VIBROACABADORA DE ASFALTO SOBRE ESTEIRAS, LARGURA DE PAVIMENTAÇÃO 1,90 M A 5,30 M, POTÊNCIA 105 HP CAPACIDADE 450 T/H - CHP DIURNO. AF_11/2014</t>
  </si>
  <si>
    <t>CHP</t>
  </si>
  <si>
    <t>0,0464000</t>
  </si>
  <si>
    <t>5837</t>
  </si>
  <si>
    <t>VIBROACABADORA DE ASFALTO SOBRE ESTEIRAS, LARGURA DE PAVIMENTAÇÃO 1,90 M A 5,30 M, POTÊNCIA 105 HP CAPACIDADE 450 T/H - CHI DIURNO. AF_11/2014</t>
  </si>
  <si>
    <t>CHI</t>
  </si>
  <si>
    <t>0,0949000</t>
  </si>
  <si>
    <t>88314</t>
  </si>
  <si>
    <t>RASTELEIRO COM ENCARGOS COMPLEMENTARES</t>
  </si>
  <si>
    <t>H</t>
  </si>
  <si>
    <t>1,1301000</t>
  </si>
  <si>
    <t>91386</t>
  </si>
  <si>
    <t>CAMINHÃO BASCULANTE 10 M3, TRUCADO CABINE SIMPLES, PESO BRUTO TOTAL 23.000 KG, CARGA ÚTIL MÁXIMA 15.935 KG, DISTÂNCIA ENTRE EIXOS 4,80 M, POTÊNCIA 230 CV INCLUSIVE CAÇAMBA METÁLICA - CHP DIURNO. AF_06/2014</t>
  </si>
  <si>
    <t>95631</t>
  </si>
  <si>
    <t>ROLO COMPACTADOR VIBRATORIO TANDEM, ACO LISO, POTENCIA 125 HP, PESO SEM/COM LASTRO 10,20/11,65 T, LARGURA DE TRABALHO 1,73 M - CHP DIURNO. AF_11/2016</t>
  </si>
  <si>
    <t>0,0805000</t>
  </si>
  <si>
    <t>95632</t>
  </si>
  <si>
    <t>ROLO COMPACTADOR VIBRATORIO TANDEM, ACO LISO, POTENCIA 125 HP, PESO SEM/COM LASTRO 10,20/11,65 T, LARGURA DE TRABALHO 1,73 M - CHI DIURNO. AF_11/2016</t>
  </si>
  <si>
    <t>0,0607000</t>
  </si>
  <si>
    <t>96155</t>
  </si>
  <si>
    <t>TRATOR DE PNEUS COM POTÊNCIA DE 85 CV, TRAÇÃO 4X4, COM VASSOURA MECÂNICA ACOPLADA - CHI DIURNO. AF_02/2017</t>
  </si>
  <si>
    <t>0,1071000</t>
  </si>
  <si>
    <t>96157</t>
  </si>
  <si>
    <t>TRATOR DE PNEUS COM POTÊNCIA DE 85 CV, TRAÇÃO 4X4, COM VASSOURA MECÂNICA ACOPLADA - CHP DIURNO. AF_03/2017</t>
  </si>
  <si>
    <t>0,0341000</t>
  </si>
  <si>
    <t>96463</t>
  </si>
  <si>
    <t>ROLO COMPACTADOR DE PNEUS, ESTATICO, PRESSAO VARIAVEL, POTENCIA 110 HP, PESO SEM/COM LASTRO 10,8/27 T, LARGURA DE ROLAGEM 2,30 M - CHP DIURNO. AF_06/2017</t>
  </si>
  <si>
    <t>0,0419000</t>
  </si>
  <si>
    <t>96464</t>
  </si>
  <si>
    <t>ROLO COMPACTADOR DE PNEUS, ESTATICO, PRESSAO VARIAVEL, POTENCIA 110 HP, PESO SEM/COM LASTRO 10,8/27 T, LARGURA DE ROLAGEM 2,30 M - CHI DIURNO. AF_06/2017</t>
  </si>
  <si>
    <t>0,0990000</t>
  </si>
  <si>
    <t>VALOR DO CBUQ S/BDI</t>
  </si>
  <si>
    <t>03.PAVI.USIN.002/01</t>
  </si>
  <si>
    <t>101021</t>
  </si>
  <si>
    <t>USINAGEM DE CONCRETO ASFÁLTICO COM CAP 50/70, PARA CAMADA DE ROLAMENTO, PADRÃO DNIT FAIXA C, EM USINA DE ASFALTO CONTÍNUA DE 80 TON/H. AF_03/2020</t>
  </si>
  <si>
    <t>INSUMO</t>
  </si>
  <si>
    <t>370</t>
  </si>
  <si>
    <t>AREIA MEDIA - POSTO JAZIDA/FORNECEDOR (RETIRADO NA JAZIDA, SEM TRANSPORTE)</t>
  </si>
  <si>
    <t>0,3248000</t>
  </si>
  <si>
    <t>1106</t>
  </si>
  <si>
    <t>CAL HIDRATADA CH-I PARA ARGAMASSAS</t>
  </si>
  <si>
    <t>KG</t>
  </si>
  <si>
    <t>56,2000000</t>
  </si>
  <si>
    <t>4720</t>
  </si>
  <si>
    <t>PEDRA BRITADA N. 0, OU PEDRISCO (4,8 A 9,5 MM) POSTO PEDREIRA/FORNECEDOR, SEM FRETE</t>
  </si>
  <si>
    <t>0,1998000</t>
  </si>
  <si>
    <t>4721</t>
  </si>
  <si>
    <t>PEDRA BRITADA N. 1 (9,5 a 19 MM) POSTO PEDREIRA/FORNECEDOR, SEM FRETE</t>
  </si>
  <si>
    <t>0,0625000</t>
  </si>
  <si>
    <t>5940</t>
  </si>
  <si>
    <t>PÁ CARREGADEIRA SOBRE RODAS, POTÊNCIA LÍQUIDA 128 HP, CAPACIDADE DA CAÇAMBA 1,7 A 2,8 M3, PESO OPERACIONAL 11632 KG - CHP DIURNO. AF_06/2014</t>
  </si>
  <si>
    <t>0,0048000</t>
  </si>
  <si>
    <t>5942</t>
  </si>
  <si>
    <t>PÁ CARREGADEIRA SOBRE RODAS, POTÊNCIA LÍQUIDA 128 HP, CAPACIDADE DA CAÇAMBA 1,7 A 2,8 M3, PESO OPERACIONAL 11632 KG - CHI DIURNO. AF_06/2014</t>
  </si>
  <si>
    <t>0,0179000</t>
  </si>
  <si>
    <t>7030</t>
  </si>
  <si>
    <t>TANQUE DE ASFALTO ESTACIONÁRIO COM SERPENTINA, CAPACIDADE 30.000 L - CHP DIURNO. AF_06/2014</t>
  </si>
  <si>
    <t>0,0455000</t>
  </si>
  <si>
    <t>41899</t>
  </si>
  <si>
    <t>CIMENTO ASFALTICO DE PETROLEO A GRANEL (CAP) 50/70 (COLETADO CAIXA NA ANP ACRESCIDO DE ICMS)</t>
  </si>
  <si>
    <t>0,0632300</t>
  </si>
  <si>
    <t>88316</t>
  </si>
  <si>
    <t>SERVENTE COM ENCARGOS COMPLEMENTARES</t>
  </si>
  <si>
    <t>90776</t>
  </si>
  <si>
    <t>ENCARREGADO GERAL COM ENCARGOS COMPLEMENTARES</t>
  </si>
  <si>
    <t>0,0227000</t>
  </si>
  <si>
    <t>93433</t>
  </si>
  <si>
    <t>USINA DE MISTURA ASFÁLTICA À QUENTE, TIPO CONTRA FLUXO, PROD 40 A 80 TON/HORA - CHP DIURNO. AF_03/2016</t>
  </si>
  <si>
    <t>0,0176000</t>
  </si>
  <si>
    <t>93434</t>
  </si>
  <si>
    <t>USINA DE MISTURA ASFÁLTICA À QUENTE, TIPO CONTRA FLUXO, PROD 40 A 80 TON/HORA - CHI DIURNO. AF_03/2016</t>
  </si>
  <si>
    <t>0,0051000</t>
  </si>
  <si>
    <t>95872</t>
  </si>
  <si>
    <t>GRUPO GERADOR COM CARENAGEM, MOTOR DIESEL POTÊNCIA STANDART ENTRE 250 E 260 KVA - CHP DIURNO. AF_12/2016</t>
  </si>
  <si>
    <t>95873</t>
  </si>
  <si>
    <t>GRUPO GERADOR COM CARENAGEM, MOTOR DIESEL POTÊNCIA STANDART ENTRE 250 E 260 KVA - CHI DIURNO. AF_12/2016</t>
  </si>
  <si>
    <t>CRONOGRAMA FÍSICO - FINANCEIRO</t>
  </si>
  <si>
    <t>ITEM</t>
  </si>
  <si>
    <t>DISCRIMINAÇÃO  DE SERVIÇOS</t>
  </si>
  <si>
    <t>VALOR DOS  SERVIÇOS</t>
  </si>
  <si>
    <t>PESO</t>
  </si>
  <si>
    <t>PARCELAS</t>
  </si>
  <si>
    <t>%</t>
  </si>
  <si>
    <t>1ª Parcela</t>
  </si>
  <si>
    <t>2ª Parcela</t>
  </si>
  <si>
    <t>3ª Parcela</t>
  </si>
  <si>
    <t>4ª Parcela</t>
  </si>
  <si>
    <t>PAVIMENTAÇÃO ASFÁLTICA C.B.U.Q.</t>
  </si>
  <si>
    <t>1.4</t>
  </si>
  <si>
    <t>1.5</t>
  </si>
  <si>
    <t>1.7</t>
  </si>
  <si>
    <t>TOTAL</t>
  </si>
  <si>
    <t>5ª Parcela</t>
  </si>
  <si>
    <t>6ª Parcela</t>
  </si>
  <si>
    <t>EXECUÇÃO DE PAVIMENTO COM APLICAÇÃO DE CONCRETO ASFÁLTICO, CAMADA DE BINDER - EXCLUSIVE CARGA E TRANSPORTE. AF_11/2019</t>
  </si>
  <si>
    <t>0,0331000</t>
  </si>
  <si>
    <t>0,0678000</t>
  </si>
  <si>
    <t>USINAGEM CONCRETO BETUMINOSO USINADO A QUENTE (CBUQ) PARA PAVIMENTACAO ASFALTICA, PADRAO DNIT, PARA BINDER, COM CAP 50/70</t>
  </si>
  <si>
    <t>0,8072000</t>
  </si>
  <si>
    <t>0,0575000</t>
  </si>
  <si>
    <t>0,0434000</t>
  </si>
  <si>
    <t>0,0668000</t>
  </si>
  <si>
    <t>0,0299000</t>
  </si>
  <si>
    <t>0,0710000</t>
  </si>
  <si>
    <t>03.PAVI.USIN.001/01</t>
  </si>
  <si>
    <t>101020</t>
  </si>
  <si>
    <t>USINAGEM DE CONCRETO ASFÁLTICO COM CAP 50/70, PARA CAMADA DE BINDER, PADRÃO DNIT FAIXA B, EM USINA DE ASFALTO CONTÍNUA DE 80 TON/H. AF_03/2020</t>
  </si>
  <si>
    <t>0,2421000</t>
  </si>
  <si>
    <t>51,8800000</t>
  </si>
  <si>
    <t>0,1740000</t>
  </si>
  <si>
    <t>0,1782000</t>
  </si>
  <si>
    <t>0,0049000</t>
  </si>
  <si>
    <t>0,0566000</t>
  </si>
  <si>
    <r>
      <t xml:space="preserve">Localização: </t>
    </r>
    <r>
      <rPr>
        <b/>
        <sz val="12"/>
        <rFont val="Verdana"/>
        <family val="2"/>
      </rPr>
      <t>Acesso ao Distrito Rosário</t>
    </r>
  </si>
  <si>
    <t>Escavação, Corte Horizontal Material V=3.110,00x8,00x0,50</t>
  </si>
  <si>
    <t>Sub-Base de Macadame 20,0cm</t>
  </si>
  <si>
    <t>Sinal. Horizontal a Base de Resina Acrílica e Microesfera Eixo</t>
  </si>
  <si>
    <t>Sinal. Horizontal a Base de Resina Acrílica e Microesfera Bordo</t>
  </si>
  <si>
    <t>2.6</t>
  </si>
  <si>
    <t>2.7</t>
  </si>
  <si>
    <t>2.8</t>
  </si>
  <si>
    <t>6.0</t>
  </si>
  <si>
    <t>6.1</t>
  </si>
  <si>
    <t>6.2</t>
  </si>
  <si>
    <t>6.3</t>
  </si>
  <si>
    <t>6.4</t>
  </si>
  <si>
    <t>Limpeza Mecanizada de Vegetação A=3110,00x10,00</t>
  </si>
  <si>
    <t>Regularização, Nivelamento e Compactção de Sub Leito</t>
  </si>
  <si>
    <t>Augusto Pestana, 24 de Maio de 2022</t>
  </si>
  <si>
    <t>Darci Sallet</t>
  </si>
  <si>
    <t>Prefeito Municipal</t>
  </si>
  <si>
    <t>Paula Manica de Moraes</t>
  </si>
  <si>
    <t>Eng.ª civil Municipal</t>
  </si>
  <si>
    <t>CREA-RS216528</t>
  </si>
  <si>
    <t>Material</t>
  </si>
  <si>
    <t>Mão de Obra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</si>
  <si>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</si>
  <si>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</si>
  <si>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</si>
  <si>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</si>
  <si>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</si>
  <si>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</si>
  <si>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</si>
  <si>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</si>
  <si>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</si>
  <si>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Nº TC/CR</t>
  </si>
  <si>
    <t xml:space="preserve"> TOMADOR</t>
  </si>
  <si>
    <t>DF</t>
  </si>
  <si>
    <t>Tomada de Preços nº02/2022</t>
  </si>
  <si>
    <t xml:space="preserve">MUNICIPIO DE AUGUSTO PESTANA </t>
  </si>
  <si>
    <t>L</t>
  </si>
  <si>
    <t>BDI PAD</t>
  </si>
  <si>
    <t>OBJETO</t>
  </si>
  <si>
    <t>Construção de Praças Urbanas, Rodovias, Ferrovias e recapeamento e pavimentação de vias urbanas</t>
  </si>
  <si>
    <t>Execução de Pavimentação asfaltica na estrada de acesso ao Distrito de Rosario</t>
  </si>
  <si>
    <t>TIPO DE OBRA DO EMPREENDIMENTO</t>
  </si>
  <si>
    <t>DESONERAÇÃO</t>
  </si>
  <si>
    <t>Não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</si>
  <si>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</si>
  <si>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</si>
  <si>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</si>
  <si>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</si>
  <si>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</si>
  <si>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</si>
  <si>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</si>
  <si>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Intervalo de admissibilidade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</si>
  <si>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</si>
  <si>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</si>
  <si>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</si>
  <si>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</si>
  <si>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</si>
  <si>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</si>
  <si>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</si>
  <si>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</si>
  <si>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</si>
  <si>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</si>
  <si>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</si>
  <si>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</si>
  <si>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</si>
  <si>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</si>
  <si>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</si>
  <si>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</si>
  <si>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>- 1</t>
  </si>
  <si>
    <t>Declaro para os devidos fins que, conforme legislação tributária municipal, a base de cálculo paraeste tipo de obra, corresponde a 30%, com a respectivia aliquota de 2%</t>
  </si>
  <si>
    <t>Declaro para os devidos fins que o regime de contribuição previdenciaria sobre a receita bruta adotada para elaboração do orçamento foi SEM  desoneração, e que esta é a alternativa mais adequada para a adminidtração.</t>
  </si>
  <si>
    <t>Observações:</t>
  </si>
  <si>
    <t>Fornecimento de Materiais e Equipamentos</t>
  </si>
  <si>
    <t xml:space="preserve">Local: </t>
  </si>
  <si>
    <t>Data:</t>
  </si>
  <si>
    <t>Responsável Técnico</t>
  </si>
  <si>
    <t>Nome:</t>
  </si>
  <si>
    <t>Estudos e Projetos, Planos e Gerenciamento e outros correlatos</t>
  </si>
  <si>
    <t>K1</t>
  </si>
  <si>
    <t>Título:</t>
  </si>
  <si>
    <t>K2</t>
  </si>
  <si>
    <t>CREA/CAU:</t>
  </si>
  <si>
    <t xml:space="preserve">Municipio de Augusto Pestana </t>
  </si>
  <si>
    <t xml:space="preserve">Augusto Pestana </t>
  </si>
  <si>
    <t>Augusto Pestana, 06/06/2022</t>
  </si>
  <si>
    <t xml:space="preserve">Composição </t>
  </si>
  <si>
    <t>UNIDADE</t>
  </si>
  <si>
    <t>COEFICIENTE</t>
  </si>
  <si>
    <t>preço unit</t>
  </si>
  <si>
    <t>total</t>
  </si>
  <si>
    <t>M2</t>
  </si>
  <si>
    <t/>
  </si>
  <si>
    <t>ANP</t>
  </si>
  <si>
    <t>Ton</t>
  </si>
  <si>
    <t>0,1206000</t>
  </si>
  <si>
    <t>ESPARGIDOR DE ASFALTO PRESSURIZADO, TANQUE 6 M3 COM ISOLAÇÃO TÉRMICA, AQUECIDO COM 2 MAÇARICOS, COM BARRA ESPARGIDORA 3,60 M, MONTADO SOBRE CAMINHÃO  TOCO, PBT 14.300 KG, POTÊNCIA 185 CV - CHP DIURNO. AF_08/2015</t>
  </si>
  <si>
    <t>0,0013000</t>
  </si>
  <si>
    <t>ESPARGIDOR DE ASFALTO PRESSURIZADO, TANQUE 6 M3 COM ISOLAÇÃO TÉRMICA, AQUECIDO COM 2 MAÇARICOS, COM BARRA ESPARGIDORA 3,60 M, MONTADO SOBRE CAMINHÃO  TOCO, PBT 14.300 KG, POTÊNCIA 185 CV - CHI DIURNO. AF_08/2015</t>
  </si>
  <si>
    <t>0,0027000</t>
  </si>
  <si>
    <t>EQUIPAMENTOS</t>
  </si>
  <si>
    <t>SICRO</t>
  </si>
  <si>
    <t>E9665</t>
  </si>
  <si>
    <t>Vassoura Mecânica e Retroescavadeira</t>
  </si>
  <si>
    <t>Motoniveladora</t>
  </si>
  <si>
    <t>Vibroacabadora</t>
  </si>
  <si>
    <t>Rolo Compactador Ref: ROLO DE PENEUS CAP21t</t>
  </si>
  <si>
    <t>Rolo Compactador Ref:  Rolo Chapa - Chapa 12t</t>
  </si>
  <si>
    <t xml:space="preserve">Caminhão Espargidor </t>
  </si>
  <si>
    <t>Veículo Leve</t>
  </si>
  <si>
    <t>Rolo compactador pé de carneiro</t>
  </si>
  <si>
    <t>Escavadeira hidraulica</t>
  </si>
  <si>
    <t>Caminhão caçamba</t>
  </si>
  <si>
    <t xml:space="preserve">Caminhão pipa </t>
  </si>
  <si>
    <t>Retro escavadeira</t>
  </si>
  <si>
    <t>QUAN.</t>
  </si>
  <si>
    <t>Totsl</t>
  </si>
  <si>
    <t>Preço unit</t>
  </si>
  <si>
    <t>Preço total</t>
  </si>
  <si>
    <t xml:space="preserve">Tempo de viagem </t>
  </si>
  <si>
    <t xml:space="preserve">MOBILIZAÇÃO OU DESMOBILIZAÇÃO DE EQUIPAMENTOS </t>
  </si>
  <si>
    <t>Fonte</t>
  </si>
  <si>
    <t>Código</t>
  </si>
  <si>
    <t>Comp 04</t>
  </si>
  <si>
    <t>Comp 05</t>
  </si>
  <si>
    <t>I</t>
  </si>
  <si>
    <t>SARRAFO DE MADEIRA NAO APARELHADA *2,5 X 7* CM, MACARANDUBA, ANGELIM OU EQUIVALENTE DA REGIAO</t>
  </si>
  <si>
    <t>PONTALETE *7,5 X 7,5* CM EM PINUS, MISTA OU EQUIVALENTE DA REGIAO - BRUTA</t>
  </si>
  <si>
    <t>PLACA DE OBRA (PARA CONSTRUCAO CIVIL) EM CHAPA GALVANIZADA *N. 22*, ADESIVADA, DE *2,0 X 1,125* M</t>
  </si>
  <si>
    <t>PREGO DE ACO POLIDO COM CABECA 18 X 30 (2 3/4 X 10)</t>
  </si>
  <si>
    <t>C</t>
  </si>
  <si>
    <t>CARPINTEIRO DE FORMAS COM ENCARGOS COMPLEMENTARES</t>
  </si>
  <si>
    <t>CONCRETO MAGRO PARA LASTRO, TRAÇO 1:4,5:4,5 (CIMENTO/ AREIA MÉDIA/ BRITA 1) - PREPARO MECÂNICO COM BETONEIRA 400 L. AF_07/2016</t>
  </si>
  <si>
    <t xml:space="preserve">PLACA DA OBRA </t>
  </si>
  <si>
    <t xml:space="preserve">DESCRIÇÃO </t>
  </si>
  <si>
    <t xml:space="preserve">EXECUÇÃO DE IMRIMAÇÃO </t>
  </si>
  <si>
    <t>EMULSÃO PARA SERVIÇOS DE IMPRIMAÇÃO</t>
  </si>
  <si>
    <t>Placa de Obra 2,40 x 1,20</t>
  </si>
  <si>
    <t xml:space="preserve">Serviços topograficos </t>
  </si>
  <si>
    <t>SARRAFO DE MADEIRA NAO APARELHADA *2,5 X 10 CM, MACARANDUBA, ANGELIM OU EQUIVALENTE DA REGIAO</t>
  </si>
  <si>
    <t>M</t>
  </si>
  <si>
    <t>COMPOSIÇÃO</t>
  </si>
  <si>
    <t>AUXILIAR DE TOPÓGRAFO COM ENCARGOS COMPLEMENTARES</t>
  </si>
  <si>
    <t>NIVELADOR COM ENCARGOS COMPLEMENTARES</t>
  </si>
  <si>
    <t>Topografo</t>
  </si>
  <si>
    <t>DESENHISTA DETALHISTA COM ENCARGOS COMPLEMENTARES</t>
  </si>
  <si>
    <t>CAMINHONETE CABINE SIMPLES COM MOTOR 1.6 FLEX, CÂMBIO MANUAL, POTÊNCIA 101/104 CV, 2 PORTAS - CHP DIURNO. AF_11/2015</t>
  </si>
  <si>
    <t xml:space="preserve">Administração local </t>
  </si>
  <si>
    <t>Engenheiro pleno</t>
  </si>
  <si>
    <t>Encarregado</t>
  </si>
  <si>
    <t>Técnico de segurança</t>
  </si>
  <si>
    <t xml:space="preserve">Laboratorista </t>
  </si>
  <si>
    <t>Caminhonete pick up</t>
  </si>
  <si>
    <t>chp</t>
  </si>
  <si>
    <t xml:space="preserve">SERVIÇOS TOPOGRAFICOS </t>
  </si>
  <si>
    <t>Composição</t>
  </si>
  <si>
    <t xml:space="preserve">ADMINISTRAÇÃO LOCAL </t>
  </si>
  <si>
    <t>6 Meses</t>
  </si>
  <si>
    <t>Comp 6</t>
  </si>
  <si>
    <t>Comp 7</t>
  </si>
  <si>
    <t>Comp 03</t>
  </si>
  <si>
    <t>Comp 02</t>
  </si>
  <si>
    <t>Comp 01</t>
  </si>
  <si>
    <t>Escavação Mecanizada de Vala - Larg: 1,0 m h: 1,50 m</t>
  </si>
  <si>
    <t>Reaterro Mecanizado de Vala</t>
  </si>
  <si>
    <t>Fornecimento Tubo Concreto simples - DN400mm</t>
  </si>
  <si>
    <t>Fornecimento Tubo Concreto simples - DN600mm</t>
  </si>
  <si>
    <t>Boca Para Bueiros 600 - ALA</t>
  </si>
  <si>
    <t>Assentamento de Tubo 600mm sobre subleito natural</t>
  </si>
  <si>
    <t>Transporte de material 1º categoria dentro da obra   - DMT 5,0km</t>
  </si>
  <si>
    <t>3.1.1</t>
  </si>
  <si>
    <t>3.1.2</t>
  </si>
  <si>
    <t>LIMPEZA</t>
  </si>
  <si>
    <t>3.2.1</t>
  </si>
  <si>
    <t>3.2.2</t>
  </si>
  <si>
    <t>3.2.3</t>
  </si>
  <si>
    <t>MOVIMENTAÇÃO DE SOLO</t>
  </si>
  <si>
    <t xml:space="preserve">Execução e Compactação de Aterro Argiloso - Coef. Contração: 0,70 </t>
  </si>
  <si>
    <t>Pintura de Ligação RR 2C - A: 3.110,00 x 6,50 m</t>
  </si>
  <si>
    <t>Base de Brita Graduada Simples - BGS 15,0 cm</t>
  </si>
  <si>
    <t>Capeamento Asfáltico em CBUQ, esp.: 3,00cm</t>
  </si>
  <si>
    <t>Transporte de Imprima/RR2C/CAP50/70 - 420,0km</t>
  </si>
  <si>
    <t>Imprimação com emulsão "imprima" - A=3.110,00x7,50 m</t>
  </si>
  <si>
    <t>Regional</t>
  </si>
  <si>
    <t>6.5</t>
  </si>
  <si>
    <t>6.6</t>
  </si>
  <si>
    <t>Escavação manual p/ instalação de placa - Furo de 0,4x0,4x0,4 m</t>
  </si>
  <si>
    <t>Concreto magro p/ fixação de placas - Furo de 0,4x0,4x0,4 m</t>
  </si>
  <si>
    <t>Data base SINAPI:</t>
  </si>
  <si>
    <t xml:space="preserve">Referência </t>
  </si>
  <si>
    <t>Assentamento de Tubo 400mm sobre subleito natural</t>
  </si>
  <si>
    <t>Boca Para Bueiros 400 - ALA</t>
  </si>
  <si>
    <t xml:space="preserve">Preparo/regularização de fundo de vala </t>
  </si>
  <si>
    <t>2.9</t>
  </si>
  <si>
    <t>Transporte de bota fora - DMT 5,0km - empolamento 1,30</t>
  </si>
  <si>
    <t>Resultado</t>
  </si>
  <si>
    <t xml:space="preserve">Uma no inicio e outra no final da obra </t>
  </si>
  <si>
    <t>Comprimento do trecho: 3.111,00 x larg intervenção 10 m</t>
  </si>
  <si>
    <t xml:space="preserve">Corpo técnico apresentado em composição x 6 meses </t>
  </si>
  <si>
    <t>Larg: 1,0 m x Prof media: 1,50 m</t>
  </si>
  <si>
    <t>Comprimento da tubulação: 170 m x larg: 1,0 m</t>
  </si>
  <si>
    <t>Referente a 7 acessos de moradores, demonstrados em projeto</t>
  </si>
  <si>
    <t>Travessias necessárias demonstradas em projetos</t>
  </si>
  <si>
    <t>255 m³ - (Área da seção DN40x70 + Área da seçãoDN60x100)</t>
  </si>
  <si>
    <t>Quantidade demonstrada em projeto</t>
  </si>
  <si>
    <t>Adotada largura de intervenção de 10 m x o comprimento do trecho de 3.110,00</t>
  </si>
  <si>
    <t xml:space="preserve">Adotada uma espessura de decapage de 0,10 m x área: 3110,00 x empolamento de 1,30 </t>
  </si>
  <si>
    <t>Com a ausencia das seções transversais, foi adotado um camada de movimentação de solo de 0,50 m sobre toda a extensão de 3.110,00 x 8,0 m d largura</t>
  </si>
  <si>
    <t>Para o transporte dos materiais acima foi adotado um coeficiente de empolamento de 1,30 x 12.440,00 m³</t>
  </si>
  <si>
    <t>Para a execução dos aterro, utilizando o volume escavado no item 3.2.1, foi adotado um coeficiente de contração de 0,70: 0,70 x 12.440,00</t>
  </si>
  <si>
    <t>Comprimento: 3.110,00 x Largura: 8,0 m</t>
  </si>
  <si>
    <t>Comprimento: 3.110,00 x Largura: 7,50 m</t>
  </si>
  <si>
    <t>Comprimento: 3.110,00 x Largura: 7,50 x Espessura 0,20 m</t>
  </si>
  <si>
    <t>Comprimento: 3.110,00 x Largura: 7,50 x Espessura 0,15 m</t>
  </si>
  <si>
    <t>Somatório dos volumes dos itens 4.2 e 4.3 e multiplicados pelo DMT adotado: (4.665,00 + 3498,75) x 40 km</t>
  </si>
  <si>
    <t>Comprimento: 3.110,00 x Largura: 6,50 m</t>
  </si>
  <si>
    <t>Comprimento: 3.110,00 x Largura: 6,50 x espessura: 0,03  m</t>
  </si>
  <si>
    <t>Volume de CBUQ: 601,59 x DMT 40 KM</t>
  </si>
  <si>
    <t xml:space="preserve">Linha no eixo do pavimento em toda a extensão da obra </t>
  </si>
  <si>
    <t>Duas linhas (uma por bordo) em toda a extensão do trecho</t>
  </si>
  <si>
    <t xml:space="preserve"> 0,40 x 0,40 x 0,40 x 14 placas </t>
  </si>
  <si>
    <t>14 placas x 3,0 m</t>
  </si>
  <si>
    <t>0,435 x 4 + 10 x 0,50</t>
  </si>
  <si>
    <t>Área extraída do projeto</t>
  </si>
  <si>
    <t>Área: 4.020 m² x 0,02 m</t>
  </si>
  <si>
    <t>Área: 4.020 m² x 0,03 m</t>
  </si>
  <si>
    <t>(((601,59x2,5548x0,06323)+((23.325x1,2)/1000)+((20.053,00x0,45)/1000)))x420</t>
  </si>
  <si>
    <t>(((80,40x2,5548*0,0566)+(120,60 x 2,5548 x 0,06323))+(((4.020 x 2)*0,45)/1000))*420</t>
  </si>
  <si>
    <t>Volume de CBUQ x DMT: (80,40 + 120,60) x 40km</t>
  </si>
  <si>
    <t>MEMÓRIA DE CÁLCULO</t>
  </si>
  <si>
    <t>Cálculo</t>
  </si>
  <si>
    <t>unid</t>
  </si>
  <si>
    <t>2,40 x 1,20 m</t>
  </si>
  <si>
    <t>SUB TOTAL ITEM 1</t>
  </si>
  <si>
    <t>SUB TOTAL ITEM 2</t>
  </si>
  <si>
    <t>SUB TOTAL ITEM 3</t>
  </si>
  <si>
    <t>SUB TOTAL ITEM 4</t>
  </si>
  <si>
    <t>SUB TOTAL ITEM 5</t>
  </si>
  <si>
    <t>SUB TOTAL ITEM 6</t>
  </si>
  <si>
    <t>Área extraída do projeto (comprimentoxlargura)</t>
  </si>
  <si>
    <t>PAULA MANICA DE MORAES</t>
  </si>
  <si>
    <t>ENGENHEIRA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</si>
</sst>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&quot;R$&quot;\ #,##0.00"/>
    <numFmt numFmtId="167" formatCode="&quot;R$ &quot;#,##0.00"/>
    <numFmt numFmtId="168" formatCode="#,##0.000"/>
    <numFmt numFmtId="169" formatCode="&quot;R$&quot;#,##0.00_);[Red]\(&quot;R$&quot;#,##0.00\)"/>
    <numFmt numFmtId="170" formatCode="_(&quot;R$ &quot;* #,##0.00_);_(&quot;R$ &quot;* \(#,##0.00\);_(&quot;R$ &quot;* \-??_);_(@_)"/>
    <numFmt numFmtId="171" formatCode="dd&quot; de &quot;mmmm&quot; de &quot;yyyy"/>
    <numFmt numFmtId="172" formatCode="#,##0.0000"/>
    <numFmt numFmtId="173" formatCode="#,##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8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ourier"/>
      <family val="3"/>
    </font>
    <font>
      <b/>
      <sz val="11"/>
      <color indexed="8"/>
      <name val="Courier"/>
    </font>
    <font>
      <b/>
      <sz val="11"/>
      <color theme="1"/>
      <name val="Courier"/>
    </font>
    <font>
      <sz val="11"/>
      <color indexed="8"/>
      <name val="Courier"/>
    </font>
    <font>
      <b/>
      <sz val="8"/>
      <color indexed="8"/>
      <name val="Courie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u/>
      <sz val="10"/>
      <name val="Verdana"/>
      <family val="2"/>
    </font>
    <font>
      <i/>
      <sz val="11"/>
      <color rgb="FF7F7F7F"/>
      <name val="Calibri"/>
      <family val="2"/>
      <scheme val="minor"/>
    </font>
    <font>
      <b/>
      <sz val="10"/>
      <name val="Arial"/>
      <family val="2"/>
      <charset val="1"/>
    </font>
    <font>
      <sz val="10"/>
      <color rgb="FF8080FF"/>
      <name val="Arial"/>
      <family val="2"/>
      <charset val="1"/>
    </font>
    <font>
      <sz val="10"/>
      <name val="Arial"/>
      <family val="2"/>
      <charset val="1"/>
    </font>
    <font>
      <b/>
      <sz val="10"/>
      <color rgb="FF0000FF"/>
      <name val="Arial"/>
      <family val="2"/>
      <charset val="1"/>
    </font>
    <font>
      <b/>
      <sz val="12"/>
      <name val="Arial"/>
      <family val="2"/>
      <charset val="1"/>
    </font>
    <font>
      <sz val="9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rgb="FF0000FF"/>
      <name val="Arial"/>
      <family val="2"/>
      <charset val="1"/>
    </font>
    <font>
      <i/>
      <sz val="12"/>
      <name val="Calibri"/>
      <family val="2"/>
      <charset val="1"/>
    </font>
    <font>
      <i/>
      <u/>
      <sz val="12"/>
      <name val="Calibri"/>
      <family val="2"/>
      <charset val="1"/>
    </font>
    <font>
      <u/>
      <sz val="10"/>
      <name val="Arial"/>
      <family val="2"/>
      <charset val="1"/>
    </font>
    <font>
      <sz val="12"/>
      <name val="Arial"/>
      <family val="2"/>
      <charset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rgb="FFFFFF9E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0" fontId="13" fillId="0" borderId="0"/>
    <xf numFmtId="0" fontId="23" fillId="0" borderId="0" applyNumberFormat="0" applyFill="0" applyBorder="0" applyAlignment="0" applyProtection="0"/>
    <xf numFmtId="0" fontId="9" fillId="0" borderId="0"/>
  </cellStyleXfs>
  <cellXfs count="3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1" xfId="4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6" xfId="4" applyFont="1" applyFill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2" fontId="6" fillId="0" borderId="0" xfId="3" applyNumberFormat="1" applyFont="1" applyBorder="1" applyProtection="1"/>
    <xf numFmtId="2" fontId="10" fillId="0" borderId="0" xfId="3" applyNumberFormat="1" applyFont="1" applyBorder="1" applyProtection="1"/>
    <xf numFmtId="4" fontId="6" fillId="0" borderId="0" xfId="0" applyNumberFormat="1" applyFont="1" applyBorder="1" applyAlignment="1">
      <alignment horizontal="right"/>
    </xf>
    <xf numFmtId="2" fontId="6" fillId="0" borderId="0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2" xfId="0" applyFont="1" applyBorder="1"/>
    <xf numFmtId="0" fontId="11" fillId="0" borderId="10" xfId="0" applyFont="1" applyBorder="1"/>
    <xf numFmtId="17" fontId="11" fillId="0" borderId="11" xfId="0" applyNumberFormat="1" applyFont="1" applyFill="1" applyBorder="1" applyAlignment="1">
      <alignment horizontal="center"/>
    </xf>
    <xf numFmtId="0" fontId="11" fillId="0" borderId="1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5" xfId="0" applyFont="1" applyBorder="1" applyAlignment="1"/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right"/>
    </xf>
    <xf numFmtId="0" fontId="8" fillId="0" borderId="15" xfId="0" applyFont="1" applyBorder="1" applyAlignment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/>
    <xf numFmtId="0" fontId="8" fillId="0" borderId="22" xfId="0" applyFont="1" applyBorder="1" applyAlignment="1"/>
    <xf numFmtId="0" fontId="2" fillId="0" borderId="23" xfId="0" applyFont="1" applyBorder="1" applyAlignment="1"/>
    <xf numFmtId="0" fontId="2" fillId="0" borderId="1" xfId="4" applyFont="1" applyFill="1" applyBorder="1" applyAlignment="1">
      <alignment horizontal="left" wrapText="1"/>
    </xf>
    <xf numFmtId="0" fontId="14" fillId="2" borderId="24" xfId="6" applyFont="1" applyFill="1" applyBorder="1" applyAlignment="1">
      <alignment horizontal="center" vertical="center" wrapText="1"/>
    </xf>
    <xf numFmtId="0" fontId="14" fillId="2" borderId="25" xfId="6" applyFont="1" applyFill="1" applyBorder="1" applyAlignment="1">
      <alignment horizontal="center" vertical="center" wrapText="1"/>
    </xf>
    <xf numFmtId="0" fontId="14" fillId="2" borderId="25" xfId="6" applyFont="1" applyFill="1" applyBorder="1" applyAlignment="1">
      <alignment horizontal="left" vertical="center" wrapText="1"/>
    </xf>
    <xf numFmtId="4" fontId="14" fillId="2" borderId="26" xfId="6" applyNumberFormat="1" applyFont="1" applyFill="1" applyBorder="1" applyAlignment="1">
      <alignment horizontal="center" vertical="center" wrapText="1"/>
    </xf>
    <xf numFmtId="4" fontId="15" fillId="3" borderId="25" xfId="6" applyNumberFormat="1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/>
    </xf>
    <xf numFmtId="0" fontId="14" fillId="2" borderId="28" xfId="6" applyFont="1" applyFill="1" applyBorder="1" applyAlignment="1">
      <alignment horizontal="center" vertical="center" wrapText="1"/>
    </xf>
    <xf numFmtId="0" fontId="14" fillId="2" borderId="26" xfId="6" applyFont="1" applyFill="1" applyBorder="1" applyAlignment="1">
      <alignment horizontal="center" vertical="center" wrapText="1"/>
    </xf>
    <xf numFmtId="0" fontId="14" fillId="2" borderId="26" xfId="6" applyFont="1" applyFill="1" applyBorder="1" applyAlignment="1">
      <alignment horizontal="left" vertical="center" wrapText="1"/>
    </xf>
    <xf numFmtId="168" fontId="14" fillId="2" borderId="26" xfId="6" applyNumberFormat="1" applyFont="1" applyFill="1" applyBorder="1" applyAlignment="1">
      <alignment horizontal="center" vertical="center" wrapText="1"/>
    </xf>
    <xf numFmtId="166" fontId="17" fillId="2" borderId="29" xfId="6" applyNumberFormat="1" applyFont="1" applyFill="1" applyBorder="1" applyAlignment="1">
      <alignment horizontal="right" vertical="center" wrapText="1"/>
    </xf>
    <xf numFmtId="166" fontId="15" fillId="3" borderId="33" xfId="6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34" xfId="0" applyBorder="1"/>
    <xf numFmtId="0" fontId="0" fillId="0" borderId="35" xfId="0" applyBorder="1"/>
    <xf numFmtId="166" fontId="12" fillId="0" borderId="36" xfId="0" applyNumberFormat="1" applyFont="1" applyBorder="1"/>
    <xf numFmtId="2" fontId="19" fillId="0" borderId="0" xfId="3" applyNumberFormat="1" applyFont="1"/>
    <xf numFmtId="2" fontId="20" fillId="0" borderId="26" xfId="3" applyNumberFormat="1" applyFont="1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26" xfId="0" applyFont="1" applyFill="1" applyBorder="1" applyAlignment="1"/>
    <xf numFmtId="2" fontId="20" fillId="5" borderId="26" xfId="3" applyNumberFormat="1" applyFont="1" applyFill="1" applyBorder="1" applyAlignment="1">
      <alignment horizontal="centerContinuous"/>
    </xf>
    <xf numFmtId="2" fontId="20" fillId="5" borderId="26" xfId="3" applyNumberFormat="1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6" xfId="0" applyFont="1" applyBorder="1" applyAlignment="1"/>
    <xf numFmtId="167" fontId="19" fillId="0" borderId="26" xfId="2" applyNumberFormat="1" applyFont="1" applyBorder="1" applyAlignment="1"/>
    <xf numFmtId="2" fontId="19" fillId="0" borderId="26" xfId="3" applyNumberFormat="1" applyFont="1" applyBorder="1" applyAlignment="1">
      <alignment horizontal="center"/>
    </xf>
    <xf numFmtId="10" fontId="9" fillId="0" borderId="26" xfId="1" applyNumberFormat="1" applyFont="1" applyBorder="1" applyAlignment="1">
      <alignment horizontal="center"/>
    </xf>
    <xf numFmtId="166" fontId="9" fillId="0" borderId="26" xfId="1" applyNumberFormat="1" applyFont="1" applyBorder="1" applyProtection="1">
      <protection locked="0"/>
    </xf>
    <xf numFmtId="0" fontId="19" fillId="0" borderId="41" xfId="0" applyFont="1" applyBorder="1" applyAlignment="1">
      <alignment horizontal="center"/>
    </xf>
    <xf numFmtId="167" fontId="19" fillId="0" borderId="42" xfId="2" applyNumberFormat="1" applyFont="1" applyBorder="1" applyAlignment="1"/>
    <xf numFmtId="2" fontId="19" fillId="0" borderId="42" xfId="3" applyNumberFormat="1" applyFont="1" applyBorder="1" applyAlignment="1">
      <alignment horizontal="center"/>
    </xf>
    <xf numFmtId="10" fontId="21" fillId="0" borderId="42" xfId="5" applyNumberFormat="1" applyFont="1" applyBorder="1"/>
    <xf numFmtId="166" fontId="21" fillId="0" borderId="42" xfId="1" applyNumberFormat="1" applyFont="1" applyBorder="1"/>
    <xf numFmtId="166" fontId="21" fillId="0" borderId="43" xfId="1" applyNumberFormat="1" applyFont="1" applyBorder="1"/>
    <xf numFmtId="2" fontId="20" fillId="0" borderId="44" xfId="3" applyNumberFormat="1" applyFont="1" applyBorder="1"/>
    <xf numFmtId="2" fontId="19" fillId="0" borderId="45" xfId="3" applyNumberFormat="1" applyFont="1" applyBorder="1"/>
    <xf numFmtId="169" fontId="20" fillId="6" borderId="45" xfId="3" applyNumberFormat="1" applyFont="1" applyFill="1" applyBorder="1"/>
    <xf numFmtId="2" fontId="20" fillId="0" borderId="45" xfId="3" applyNumberFormat="1" applyFont="1" applyBorder="1" applyAlignment="1">
      <alignment horizontal="center"/>
    </xf>
    <xf numFmtId="10" fontId="21" fillId="0" borderId="45" xfId="5" applyNumberFormat="1" applyFont="1" applyBorder="1"/>
    <xf numFmtId="10" fontId="0" fillId="0" borderId="0" xfId="0" applyNumberFormat="1"/>
    <xf numFmtId="4" fontId="14" fillId="2" borderId="25" xfId="6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49" fontId="21" fillId="0" borderId="46" xfId="0" applyNumberFormat="1" applyFont="1" applyBorder="1" applyAlignment="1">
      <alignment horizontal="center"/>
    </xf>
    <xf numFmtId="49" fontId="21" fillId="0" borderId="47" xfId="0" applyNumberFormat="1" applyFont="1" applyBorder="1" applyAlignment="1">
      <alignment horizontal="center"/>
    </xf>
    <xf numFmtId="2" fontId="19" fillId="0" borderId="0" xfId="3" applyNumberFormat="1" applyFont="1" applyAlignment="1">
      <alignment horizontal="center"/>
    </xf>
    <xf numFmtId="2" fontId="20" fillId="0" borderId="0" xfId="3" applyNumberFormat="1" applyFont="1" applyAlignment="1">
      <alignment horizontal="center" vertical="center"/>
    </xf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2" fillId="0" borderId="53" xfId="0" applyFont="1" applyBorder="1"/>
    <xf numFmtId="166" fontId="19" fillId="0" borderId="26" xfId="3" applyNumberFormat="1" applyFont="1" applyBorder="1" applyAlignment="1">
      <alignment horizontal="center"/>
    </xf>
    <xf numFmtId="2" fontId="20" fillId="0" borderId="25" xfId="3" applyNumberFormat="1" applyFont="1" applyBorder="1" applyAlignment="1">
      <alignment horizontal="center"/>
    </xf>
    <xf numFmtId="49" fontId="21" fillId="0" borderId="52" xfId="0" applyNumberFormat="1" applyFont="1" applyBorder="1" applyAlignment="1">
      <alignment horizontal="center"/>
    </xf>
    <xf numFmtId="166" fontId="21" fillId="0" borderId="56" xfId="1" applyNumberFormat="1" applyFont="1" applyBorder="1"/>
    <xf numFmtId="2" fontId="20" fillId="0" borderId="52" xfId="3" applyNumberFormat="1" applyFont="1" applyBorder="1" applyAlignment="1">
      <alignment horizontal="center"/>
    </xf>
    <xf numFmtId="2" fontId="20" fillId="0" borderId="50" xfId="3" applyNumberFormat="1" applyFont="1" applyBorder="1" applyAlignment="1">
      <alignment horizontal="center"/>
    </xf>
    <xf numFmtId="49" fontId="21" fillId="0" borderId="25" xfId="0" applyNumberFormat="1" applyFont="1" applyBorder="1" applyAlignment="1">
      <alignment horizontal="center"/>
    </xf>
    <xf numFmtId="49" fontId="21" fillId="0" borderId="40" xfId="0" applyNumberFormat="1" applyFont="1" applyBorder="1" applyAlignment="1">
      <alignment horizontal="center"/>
    </xf>
    <xf numFmtId="0" fontId="0" fillId="0" borderId="0" xfId="0" applyBorder="1"/>
    <xf numFmtId="0" fontId="21" fillId="0" borderId="0" xfId="0" applyFont="1" applyBorder="1" applyAlignment="1"/>
    <xf numFmtId="49" fontId="21" fillId="0" borderId="0" xfId="0" applyNumberFormat="1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166" fontId="21" fillId="0" borderId="0" xfId="1" applyNumberFormat="1" applyFont="1" applyBorder="1"/>
    <xf numFmtId="0" fontId="9" fillId="5" borderId="60" xfId="0" applyFont="1" applyFill="1" applyBorder="1" applyAlignment="1">
      <alignment horizontal="center"/>
    </xf>
    <xf numFmtId="166" fontId="9" fillId="0" borderId="60" xfId="1" applyNumberFormat="1" applyFont="1" applyBorder="1" applyProtection="1">
      <protection locked="0"/>
    </xf>
    <xf numFmtId="0" fontId="9" fillId="5" borderId="66" xfId="0" applyFont="1" applyFill="1" applyBorder="1" applyAlignment="1">
      <alignment horizontal="center"/>
    </xf>
    <xf numFmtId="166" fontId="9" fillId="0" borderId="66" xfId="1" applyNumberFormat="1" applyFont="1" applyBorder="1" applyProtection="1">
      <protection locked="0"/>
    </xf>
    <xf numFmtId="166" fontId="9" fillId="0" borderId="42" xfId="1" applyNumberFormat="1" applyFont="1" applyBorder="1" applyProtection="1">
      <protection locked="0"/>
    </xf>
    <xf numFmtId="166" fontId="21" fillId="0" borderId="26" xfId="1" applyNumberFormat="1" applyFont="1" applyBorder="1"/>
    <xf numFmtId="0" fontId="0" fillId="0" borderId="65" xfId="0" applyBorder="1"/>
    <xf numFmtId="0" fontId="0" fillId="0" borderId="67" xfId="0" applyBorder="1"/>
    <xf numFmtId="0" fontId="19" fillId="0" borderId="62" xfId="0" applyFont="1" applyBorder="1" applyAlignment="1"/>
    <xf numFmtId="2" fontId="19" fillId="0" borderId="62" xfId="3" applyNumberFormat="1" applyFont="1" applyBorder="1" applyAlignment="1">
      <alignment horizontal="center"/>
    </xf>
    <xf numFmtId="0" fontId="0" fillId="0" borderId="66" xfId="0" applyBorder="1"/>
    <xf numFmtId="0" fontId="0" fillId="0" borderId="68" xfId="0" applyBorder="1"/>
    <xf numFmtId="0" fontId="9" fillId="5" borderId="61" xfId="0" applyFont="1" applyFill="1" applyBorder="1" applyAlignment="1">
      <alignment horizontal="center"/>
    </xf>
    <xf numFmtId="10" fontId="9" fillId="0" borderId="61" xfId="1" applyNumberFormat="1" applyFont="1" applyBorder="1" applyAlignment="1">
      <alignment horizontal="center"/>
    </xf>
    <xf numFmtId="10" fontId="21" fillId="0" borderId="62" xfId="5" applyNumberFormat="1" applyFont="1" applyBorder="1"/>
    <xf numFmtId="10" fontId="21" fillId="0" borderId="69" xfId="5" applyNumberFormat="1" applyFont="1" applyBorder="1"/>
    <xf numFmtId="2" fontId="20" fillId="5" borderId="29" xfId="3" applyNumberFormat="1" applyFont="1" applyFill="1" applyBorder="1" applyAlignment="1">
      <alignment horizontal="center"/>
    </xf>
    <xf numFmtId="166" fontId="19" fillId="0" borderId="29" xfId="3" applyNumberFormat="1" applyFont="1" applyBorder="1" applyAlignment="1">
      <alignment horizontal="center"/>
    </xf>
    <xf numFmtId="2" fontId="19" fillId="0" borderId="43" xfId="3" applyNumberFormat="1" applyFont="1" applyBorder="1" applyAlignment="1">
      <alignment horizontal="center"/>
    </xf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9" fillId="5" borderId="29" xfId="0" applyFont="1" applyFill="1" applyBorder="1" applyAlignment="1">
      <alignment horizontal="center"/>
    </xf>
    <xf numFmtId="166" fontId="9" fillId="0" borderId="29" xfId="1" applyNumberFormat="1" applyFont="1" applyBorder="1" applyProtection="1">
      <protection locked="0"/>
    </xf>
    <xf numFmtId="0" fontId="0" fillId="0" borderId="75" xfId="0" applyBorder="1"/>
    <xf numFmtId="10" fontId="21" fillId="0" borderId="44" xfId="5" applyNumberFormat="1" applyFont="1" applyBorder="1"/>
    <xf numFmtId="10" fontId="21" fillId="0" borderId="58" xfId="5" applyNumberFormat="1" applyFont="1" applyBorder="1"/>
    <xf numFmtId="49" fontId="21" fillId="0" borderId="77" xfId="0" applyNumberFormat="1" applyFont="1" applyBorder="1" applyAlignment="1">
      <alignment horizontal="center"/>
    </xf>
    <xf numFmtId="166" fontId="21" fillId="0" borderId="79" xfId="1" applyNumberFormat="1" applyFont="1" applyBorder="1"/>
    <xf numFmtId="166" fontId="12" fillId="0" borderId="71" xfId="0" applyNumberFormat="1" applyFont="1" applyBorder="1"/>
    <xf numFmtId="0" fontId="19" fillId="0" borderId="67" xfId="0" applyFont="1" applyBorder="1" applyAlignment="1"/>
    <xf numFmtId="2" fontId="19" fillId="0" borderId="68" xfId="3" applyNumberFormat="1" applyFont="1" applyBorder="1"/>
    <xf numFmtId="2" fontId="20" fillId="0" borderId="68" xfId="3" applyNumberFormat="1" applyFont="1" applyFill="1" applyBorder="1" applyAlignment="1">
      <alignment horizontal="center"/>
    </xf>
    <xf numFmtId="2" fontId="20" fillId="0" borderId="66" xfId="3" applyNumberFormat="1" applyFont="1" applyFill="1" applyBorder="1" applyAlignment="1">
      <alignment horizontal="center"/>
    </xf>
    <xf numFmtId="2" fontId="20" fillId="0" borderId="67" xfId="3" applyNumberFormat="1" applyFont="1" applyFill="1" applyBorder="1"/>
    <xf numFmtId="166" fontId="12" fillId="0" borderId="66" xfId="0" applyNumberFormat="1" applyFont="1" applyBorder="1"/>
    <xf numFmtId="0" fontId="0" fillId="0" borderId="64" xfId="0" applyBorder="1"/>
    <xf numFmtId="2" fontId="20" fillId="0" borderId="68" xfId="3" applyNumberFormat="1" applyFont="1" applyFill="1" applyBorder="1"/>
    <xf numFmtId="166" fontId="12" fillId="0" borderId="26" xfId="0" applyNumberFormat="1" applyFont="1" applyBorder="1"/>
    <xf numFmtId="166" fontId="12" fillId="0" borderId="29" xfId="0" applyNumberFormat="1" applyFont="1" applyBorder="1"/>
    <xf numFmtId="2" fontId="19" fillId="0" borderId="80" xfId="3" applyNumberFormat="1" applyFont="1" applyBorder="1"/>
    <xf numFmtId="166" fontId="21" fillId="0" borderId="53" xfId="1" applyNumberFormat="1" applyFont="1" applyBorder="1"/>
    <xf numFmtId="166" fontId="12" fillId="0" borderId="63" xfId="0" applyNumberFormat="1" applyFont="1" applyBorder="1"/>
    <xf numFmtId="2" fontId="19" fillId="0" borderId="67" xfId="3" applyNumberFormat="1" applyFont="1" applyBorder="1"/>
    <xf numFmtId="0" fontId="9" fillId="5" borderId="28" xfId="0" applyFont="1" applyFill="1" applyBorder="1" applyAlignment="1">
      <alignment horizontal="center"/>
    </xf>
    <xf numFmtId="10" fontId="9" fillId="0" borderId="28" xfId="1" applyNumberFormat="1" applyFont="1" applyBorder="1" applyAlignment="1">
      <alignment horizontal="center"/>
    </xf>
    <xf numFmtId="10" fontId="21" fillId="0" borderId="41" xfId="5" applyNumberFormat="1" applyFont="1" applyBorder="1"/>
    <xf numFmtId="2" fontId="20" fillId="0" borderId="72" xfId="3" applyNumberFormat="1" applyFont="1" applyFill="1" applyBorder="1"/>
    <xf numFmtId="2" fontId="20" fillId="0" borderId="76" xfId="3" applyNumberFormat="1" applyFont="1" applyFill="1" applyBorder="1" applyAlignment="1">
      <alignment horizontal="center"/>
    </xf>
    <xf numFmtId="166" fontId="12" fillId="0" borderId="60" xfId="0" applyNumberFormat="1" applyFont="1" applyBorder="1"/>
    <xf numFmtId="49" fontId="21" fillId="0" borderId="24" xfId="0" applyNumberFormat="1" applyFont="1" applyBorder="1" applyAlignment="1">
      <alignment horizontal="center"/>
    </xf>
    <xf numFmtId="2" fontId="20" fillId="0" borderId="74" xfId="3" applyNumberFormat="1" applyFont="1" applyBorder="1" applyAlignment="1">
      <alignment horizontal="center"/>
    </xf>
    <xf numFmtId="49" fontId="21" fillId="0" borderId="55" xfId="0" applyNumberFormat="1" applyFont="1" applyBorder="1" applyAlignment="1">
      <alignment horizontal="center"/>
    </xf>
    <xf numFmtId="0" fontId="0" fillId="0" borderId="42" xfId="0" applyBorder="1"/>
    <xf numFmtId="0" fontId="0" fillId="0" borderId="43" xfId="0" applyBorder="1"/>
    <xf numFmtId="166" fontId="12" fillId="0" borderId="42" xfId="0" applyNumberFormat="1" applyFont="1" applyBorder="1"/>
    <xf numFmtId="0" fontId="0" fillId="0" borderId="54" xfId="0" applyBorder="1"/>
    <xf numFmtId="0" fontId="9" fillId="5" borderId="75" xfId="0" applyFont="1" applyFill="1" applyBorder="1" applyAlignment="1">
      <alignment horizontal="center"/>
    </xf>
    <xf numFmtId="166" fontId="9" fillId="0" borderId="43" xfId="1" applyNumberFormat="1" applyFont="1" applyBorder="1" applyProtection="1">
      <protection locked="0"/>
    </xf>
    <xf numFmtId="166" fontId="21" fillId="0" borderId="74" xfId="1" applyNumberFormat="1" applyFont="1" applyBorder="1"/>
    <xf numFmtId="2" fontId="19" fillId="0" borderId="35" xfId="3" applyNumberFormat="1" applyFont="1" applyBorder="1"/>
    <xf numFmtId="2" fontId="19" fillId="0" borderId="57" xfId="3" applyNumberFormat="1" applyFont="1" applyBorder="1" applyProtection="1"/>
    <xf numFmtId="2" fontId="19" fillId="0" borderId="49" xfId="3" applyNumberFormat="1" applyFont="1" applyBorder="1" applyProtection="1"/>
    <xf numFmtId="2" fontId="19" fillId="0" borderId="49" xfId="3" applyNumberFormat="1" applyFont="1" applyBorder="1"/>
    <xf numFmtId="0" fontId="0" fillId="0" borderId="49" xfId="0" applyBorder="1"/>
    <xf numFmtId="0" fontId="0" fillId="0" borderId="50" xfId="0" applyBorder="1"/>
    <xf numFmtId="2" fontId="19" fillId="0" borderId="67" xfId="3" applyNumberFormat="1" applyFont="1" applyFill="1" applyBorder="1" applyAlignment="1">
      <alignment horizontal="centerContinuous"/>
    </xf>
    <xf numFmtId="0" fontId="0" fillId="0" borderId="52" xfId="0" applyBorder="1"/>
    <xf numFmtId="2" fontId="2" fillId="0" borderId="52" xfId="0" applyNumberFormat="1" applyFont="1" applyBorder="1"/>
    <xf numFmtId="0" fontId="2" fillId="0" borderId="59" xfId="0" applyFont="1" applyBorder="1"/>
    <xf numFmtId="0" fontId="2" fillId="0" borderId="54" xfId="0" applyFont="1" applyBorder="1"/>
    <xf numFmtId="0" fontId="6" fillId="0" borderId="54" xfId="0" applyFont="1" applyBorder="1" applyAlignment="1">
      <alignment horizontal="center"/>
    </xf>
    <xf numFmtId="0" fontId="2" fillId="0" borderId="54" xfId="0" applyFont="1" applyBorder="1" applyAlignment="1">
      <alignment horizontal="right"/>
    </xf>
    <xf numFmtId="0" fontId="4" fillId="0" borderId="83" xfId="0" applyFont="1" applyBorder="1" applyAlignment="1">
      <alignment horizontal="left" indent="11"/>
    </xf>
    <xf numFmtId="0" fontId="4" fillId="0" borderId="0" xfId="0" applyFont="1" applyBorder="1" applyAlignment="1">
      <alignment horizontal="left" indent="1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83" xfId="0" applyFont="1" applyBorder="1"/>
    <xf numFmtId="0" fontId="7" fillId="0" borderId="8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2" fontId="6" fillId="0" borderId="83" xfId="3" applyNumberFormat="1" applyFont="1" applyBorder="1" applyProtection="1"/>
    <xf numFmtId="0" fontId="6" fillId="0" borderId="83" xfId="0" applyFont="1" applyBorder="1" applyAlignment="1">
      <alignment horizontal="left"/>
    </xf>
    <xf numFmtId="0" fontId="19" fillId="0" borderId="72" xfId="0" applyFont="1" applyBorder="1" applyAlignment="1">
      <alignment horizontal="left"/>
    </xf>
    <xf numFmtId="2" fontId="19" fillId="0" borderId="48" xfId="3" applyNumberFormat="1" applyFont="1" applyBorder="1" applyProtection="1"/>
    <xf numFmtId="2" fontId="19" fillId="0" borderId="54" xfId="3" applyNumberFormat="1" applyFont="1" applyBorder="1" applyProtection="1"/>
    <xf numFmtId="2" fontId="19" fillId="0" borderId="54" xfId="3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24" fillId="0" borderId="0" xfId="7" applyNumberFormat="1" applyFont="1" applyAlignment="1" applyProtection="1">
      <alignment horizontal="center"/>
    </xf>
    <xf numFmtId="0" fontId="25" fillId="0" borderId="0" xfId="7" applyNumberFormat="1" applyFont="1"/>
    <xf numFmtId="0" fontId="26" fillId="0" borderId="0" xfId="7" applyNumberFormat="1" applyFont="1" applyAlignment="1" applyProtection="1">
      <alignment horizontal="center"/>
    </xf>
    <xf numFmtId="0" fontId="26" fillId="0" borderId="0" xfId="7" applyNumberFormat="1" applyFont="1" applyProtection="1"/>
    <xf numFmtId="0" fontId="24" fillId="0" borderId="26" xfId="7" applyNumberFormat="1" applyFont="1" applyBorder="1" applyAlignment="1" applyProtection="1">
      <alignment horizontal="center"/>
    </xf>
    <xf numFmtId="10" fontId="27" fillId="0" borderId="26" xfId="7" applyNumberFormat="1" applyFont="1" applyBorder="1" applyAlignment="1" applyProtection="1">
      <alignment horizontal="center"/>
    </xf>
    <xf numFmtId="0" fontId="28" fillId="0" borderId="0" xfId="7" applyNumberFormat="1" applyFont="1" applyAlignment="1" applyProtection="1">
      <alignment horizontal="center"/>
    </xf>
    <xf numFmtId="0" fontId="24" fillId="0" borderId="0" xfId="7" applyNumberFormat="1" applyFont="1" applyProtection="1"/>
    <xf numFmtId="0" fontId="24" fillId="0" borderId="26" xfId="7" applyNumberFormat="1" applyFont="1" applyBorder="1" applyAlignment="1" applyProtection="1">
      <alignment horizontal="center" vertical="center" wrapText="1"/>
    </xf>
    <xf numFmtId="0" fontId="30" fillId="0" borderId="0" xfId="7" applyNumberFormat="1" applyFont="1" applyProtection="1"/>
    <xf numFmtId="0" fontId="31" fillId="0" borderId="26" xfId="7" applyNumberFormat="1" applyFont="1" applyBorder="1" applyAlignment="1" applyProtection="1">
      <alignment horizontal="center" vertical="center"/>
    </xf>
    <xf numFmtId="0" fontId="24" fillId="0" borderId="26" xfId="7" applyNumberFormat="1" applyFont="1" applyBorder="1" applyAlignment="1" applyProtection="1">
      <alignment horizontal="center" vertical="center"/>
    </xf>
    <xf numFmtId="0" fontId="32" fillId="0" borderId="26" xfId="7" applyNumberFormat="1" applyFont="1" applyBorder="1" applyAlignment="1" applyProtection="1">
      <alignment horizontal="center" vertical="center"/>
    </xf>
    <xf numFmtId="10" fontId="32" fillId="7" borderId="26" xfId="7" applyNumberFormat="1" applyFont="1" applyFill="1" applyBorder="1" applyAlignment="1" applyProtection="1">
      <alignment horizontal="center" vertical="center"/>
      <protection locked="0"/>
    </xf>
    <xf numFmtId="4" fontId="31" fillId="0" borderId="26" xfId="7" applyNumberFormat="1" applyFont="1" applyBorder="1" applyAlignment="1" applyProtection="1">
      <alignment horizontal="center" vertical="center"/>
    </xf>
    <xf numFmtId="10" fontId="32" fillId="0" borderId="26" xfId="7" applyNumberFormat="1" applyFont="1" applyBorder="1" applyAlignment="1" applyProtection="1">
      <alignment horizontal="center" vertical="center"/>
    </xf>
    <xf numFmtId="10" fontId="32" fillId="0" borderId="26" xfId="7" applyNumberFormat="1" applyFont="1" applyBorder="1" applyAlignment="1" applyProtection="1">
      <alignment horizontal="center" vertical="center" wrapText="1"/>
    </xf>
    <xf numFmtId="0" fontId="32" fillId="0" borderId="26" xfId="7" applyNumberFormat="1" applyFont="1" applyBorder="1" applyAlignment="1" applyProtection="1">
      <alignment horizontal="center" vertical="center" wrapText="1"/>
    </xf>
    <xf numFmtId="0" fontId="33" fillId="0" borderId="26" xfId="7" applyNumberFormat="1" applyFont="1" applyBorder="1" applyAlignment="1" applyProtection="1">
      <alignment horizontal="center" vertical="center" wrapText="1"/>
    </xf>
    <xf numFmtId="10" fontId="33" fillId="0" borderId="26" xfId="7" applyNumberFormat="1" applyFont="1" applyBorder="1" applyAlignment="1" applyProtection="1">
      <alignment horizontal="center" vertical="center"/>
    </xf>
    <xf numFmtId="0" fontId="26" fillId="0" borderId="0" xfId="7" applyNumberFormat="1" applyFont="1" applyBorder="1" applyAlignment="1" applyProtection="1">
      <alignment horizontal="center" vertical="top"/>
    </xf>
    <xf numFmtId="0" fontId="37" fillId="0" borderId="0" xfId="7" applyNumberFormat="1" applyFont="1" applyBorder="1" applyAlignment="1" applyProtection="1">
      <alignment horizontal="center" vertical="top"/>
    </xf>
    <xf numFmtId="0" fontId="38" fillId="0" borderId="0" xfId="7" applyNumberFormat="1" applyFont="1" applyBorder="1" applyAlignment="1" applyProtection="1">
      <alignment horizontal="left" vertical="center" wrapText="1"/>
    </xf>
    <xf numFmtId="0" fontId="26" fillId="0" borderId="0" xfId="7" applyNumberFormat="1" applyFont="1" applyAlignment="1" applyProtection="1">
      <alignment horizontal="right"/>
    </xf>
    <xf numFmtId="171" fontId="26" fillId="0" borderId="0" xfId="7" applyNumberFormat="1" applyFont="1" applyAlignment="1" applyProtection="1"/>
    <xf numFmtId="0" fontId="32" fillId="0" borderId="0" xfId="7" applyNumberFormat="1" applyFont="1" applyBorder="1" applyProtection="1"/>
    <xf numFmtId="0" fontId="26" fillId="0" borderId="0" xfId="7" applyNumberFormat="1" applyFont="1" applyBorder="1" applyProtection="1"/>
    <xf numFmtId="0" fontId="24" fillId="0" borderId="0" xfId="7" applyNumberFormat="1" applyFont="1" applyBorder="1" applyAlignment="1" applyProtection="1">
      <alignment horizontal="left" vertical="top"/>
    </xf>
    <xf numFmtId="0" fontId="32" fillId="0" borderId="0" xfId="7" applyNumberFormat="1" applyFont="1" applyProtection="1"/>
    <xf numFmtId="0" fontId="39" fillId="2" borderId="28" xfId="6" applyFont="1" applyFill="1" applyBorder="1" applyAlignment="1">
      <alignment horizontal="center" vertical="center" wrapText="1"/>
    </xf>
    <xf numFmtId="0" fontId="39" fillId="2" borderId="26" xfId="6" applyFont="1" applyFill="1" applyBorder="1" applyAlignment="1">
      <alignment horizontal="center" vertical="center" wrapText="1"/>
    </xf>
    <xf numFmtId="0" fontId="40" fillId="2" borderId="26" xfId="6" applyFont="1" applyFill="1" applyBorder="1" applyAlignment="1">
      <alignment horizontal="left" vertical="center" wrapText="1"/>
    </xf>
    <xf numFmtId="4" fontId="39" fillId="2" borderId="26" xfId="6" applyNumberFormat="1" applyFont="1" applyFill="1" applyBorder="1" applyAlignment="1">
      <alignment horizontal="center" vertical="center" wrapText="1"/>
    </xf>
    <xf numFmtId="4" fontId="39" fillId="2" borderId="29" xfId="6" applyNumberFormat="1" applyFont="1" applyFill="1" applyBorder="1" applyAlignment="1">
      <alignment horizontal="center" vertical="center" wrapText="1"/>
    </xf>
    <xf numFmtId="0" fontId="39" fillId="2" borderId="26" xfId="6" applyFont="1" applyFill="1" applyBorder="1" applyAlignment="1">
      <alignment horizontal="left" vertical="center" wrapText="1"/>
    </xf>
    <xf numFmtId="172" fontId="39" fillId="2" borderId="26" xfId="6" applyNumberFormat="1" applyFont="1" applyFill="1" applyBorder="1" applyAlignment="1">
      <alignment horizontal="center" vertical="center" wrapText="1"/>
    </xf>
    <xf numFmtId="164" fontId="39" fillId="2" borderId="26" xfId="6" applyNumberFormat="1" applyFont="1" applyFill="1" applyBorder="1" applyAlignment="1">
      <alignment horizontal="center" vertical="center" wrapText="1"/>
    </xf>
    <xf numFmtId="164" fontId="41" fillId="0" borderId="29" xfId="0" applyNumberFormat="1" applyFont="1" applyBorder="1"/>
    <xf numFmtId="0" fontId="39" fillId="2" borderId="34" xfId="6" applyFont="1" applyFill="1" applyBorder="1" applyAlignment="1">
      <alignment horizontal="center" vertical="center" wrapText="1"/>
    </xf>
    <xf numFmtId="0" fontId="39" fillId="2" borderId="35" xfId="6" applyFont="1" applyFill="1" applyBorder="1" applyAlignment="1">
      <alignment horizontal="center" vertical="center" wrapText="1"/>
    </xf>
    <xf numFmtId="0" fontId="39" fillId="2" borderId="35" xfId="6" applyFont="1" applyFill="1" applyBorder="1" applyAlignment="1">
      <alignment horizontal="left" vertical="center" wrapText="1"/>
    </xf>
    <xf numFmtId="4" fontId="39" fillId="2" borderId="35" xfId="6" applyNumberFormat="1" applyFont="1" applyFill="1" applyBorder="1" applyAlignment="1">
      <alignment horizontal="center" vertical="center" wrapText="1"/>
    </xf>
    <xf numFmtId="164" fontId="40" fillId="2" borderId="88" xfId="6" applyNumberFormat="1" applyFont="1" applyFill="1" applyBorder="1" applyAlignment="1">
      <alignment horizontal="center" vertical="center" wrapText="1"/>
    </xf>
    <xf numFmtId="164" fontId="42" fillId="0" borderId="33" xfId="0" applyNumberFormat="1" applyFont="1" applyBorder="1"/>
    <xf numFmtId="0" fontId="43" fillId="8" borderId="28" xfId="6" applyFont="1" applyFill="1" applyBorder="1" applyAlignment="1">
      <alignment horizontal="center" vertical="center" wrapText="1"/>
    </xf>
    <xf numFmtId="0" fontId="43" fillId="8" borderId="26" xfId="6" applyFont="1" applyFill="1" applyBorder="1" applyAlignment="1">
      <alignment horizontal="center" vertical="center" wrapText="1"/>
    </xf>
    <xf numFmtId="2" fontId="43" fillId="8" borderId="26" xfId="6" applyNumberFormat="1" applyFont="1" applyFill="1" applyBorder="1" applyAlignment="1">
      <alignment horizontal="center" vertical="center" wrapText="1"/>
    </xf>
    <xf numFmtId="4" fontId="43" fillId="8" borderId="26" xfId="6" applyNumberFormat="1" applyFont="1" applyFill="1" applyBorder="1" applyAlignment="1">
      <alignment horizontal="center" vertical="center" wrapText="1"/>
    </xf>
    <xf numFmtId="4" fontId="43" fillId="8" borderId="29" xfId="6" applyNumberFormat="1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/>
    </xf>
    <xf numFmtId="0" fontId="44" fillId="0" borderId="26" xfId="8" applyFont="1" applyBorder="1" applyAlignment="1">
      <alignment horizontal="left"/>
    </xf>
    <xf numFmtId="4" fontId="41" fillId="0" borderId="26" xfId="0" applyNumberFormat="1" applyFont="1" applyBorder="1" applyAlignment="1">
      <alignment horizontal="center"/>
    </xf>
    <xf numFmtId="166" fontId="41" fillId="0" borderId="26" xfId="0" applyNumberFormat="1" applyFont="1" applyBorder="1" applyAlignment="1">
      <alignment horizontal="center"/>
    </xf>
    <xf numFmtId="0" fontId="44" fillId="0" borderId="60" xfId="8" applyFont="1" applyBorder="1" applyAlignment="1">
      <alignment horizontal="left"/>
    </xf>
    <xf numFmtId="0" fontId="41" fillId="0" borderId="0" xfId="0" applyFont="1"/>
    <xf numFmtId="166" fontId="41" fillId="0" borderId="0" xfId="0" applyNumberFormat="1" applyFont="1"/>
    <xf numFmtId="0" fontId="40" fillId="9" borderId="0" xfId="6" applyFont="1" applyFill="1" applyBorder="1" applyAlignment="1">
      <alignment horizontal="center" vertical="center" wrapText="1"/>
    </xf>
    <xf numFmtId="0" fontId="12" fillId="10" borderId="0" xfId="0" applyFont="1" applyFill="1"/>
    <xf numFmtId="0" fontId="0" fillId="10" borderId="0" xfId="0" applyFill="1"/>
    <xf numFmtId="0" fontId="42" fillId="10" borderId="26" xfId="0" applyFont="1" applyFill="1" applyBorder="1" applyAlignment="1">
      <alignment horizontal="center" vertical="center" wrapText="1"/>
    </xf>
    <xf numFmtId="0" fontId="42" fillId="10" borderId="26" xfId="0" applyFont="1" applyFill="1" applyBorder="1" applyAlignment="1">
      <alignment horizontal="center" vertical="center"/>
    </xf>
    <xf numFmtId="173" fontId="39" fillId="2" borderId="26" xfId="6" applyNumberFormat="1" applyFont="1" applyFill="1" applyBorder="1" applyAlignment="1">
      <alignment horizontal="center" vertical="center" wrapText="1"/>
    </xf>
    <xf numFmtId="164" fontId="39" fillId="2" borderId="29" xfId="6" applyNumberFormat="1" applyFont="1" applyFill="1" applyBorder="1" applyAlignment="1">
      <alignment horizontal="center" vertical="center" wrapText="1"/>
    </xf>
    <xf numFmtId="0" fontId="43" fillId="9" borderId="28" xfId="6" applyFont="1" applyFill="1" applyBorder="1" applyAlignment="1">
      <alignment horizontal="center" vertical="center" wrapText="1"/>
    </xf>
    <xf numFmtId="0" fontId="43" fillId="9" borderId="26" xfId="6" applyFont="1" applyFill="1" applyBorder="1" applyAlignment="1">
      <alignment horizontal="center" vertical="center" wrapText="1"/>
    </xf>
    <xf numFmtId="2" fontId="43" fillId="9" borderId="26" xfId="6" applyNumberFormat="1" applyFont="1" applyFill="1" applyBorder="1" applyAlignment="1">
      <alignment horizontal="center" vertical="center" wrapText="1"/>
    </xf>
    <xf numFmtId="4" fontId="43" fillId="9" borderId="26" xfId="6" applyNumberFormat="1" applyFont="1" applyFill="1" applyBorder="1" applyAlignment="1">
      <alignment horizontal="center" vertical="center" wrapText="1"/>
    </xf>
    <xf numFmtId="4" fontId="43" fillId="9" borderId="29" xfId="6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39" fillId="2" borderId="0" xfId="6" applyFont="1" applyFill="1" applyAlignment="1">
      <alignment horizontal="center" vertical="center" wrapText="1"/>
    </xf>
    <xf numFmtId="0" fontId="39" fillId="2" borderId="0" xfId="6" applyFont="1" applyFill="1" applyAlignment="1">
      <alignment horizontal="left" vertical="center" wrapText="1"/>
    </xf>
    <xf numFmtId="4" fontId="39" fillId="2" borderId="0" xfId="6" applyNumberFormat="1" applyFont="1" applyFill="1" applyAlignment="1">
      <alignment horizontal="center" vertical="center" wrapText="1"/>
    </xf>
    <xf numFmtId="164" fontId="40" fillId="2" borderId="0" xfId="6" applyNumberFormat="1" applyFont="1" applyFill="1" applyAlignment="1">
      <alignment horizontal="center" vertical="center" wrapText="1"/>
    </xf>
    <xf numFmtId="164" fontId="42" fillId="0" borderId="0" xfId="0" applyNumberFormat="1" applyFont="1"/>
    <xf numFmtId="2" fontId="2" fillId="0" borderId="1" xfId="0" applyNumberFormat="1" applyFont="1" applyBorder="1" applyAlignment="1"/>
    <xf numFmtId="164" fontId="2" fillId="0" borderId="1" xfId="2" applyNumberFormat="1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164" fontId="2" fillId="0" borderId="54" xfId="0" applyNumberFormat="1" applyFont="1" applyBorder="1" applyAlignment="1">
      <alignment horizontal="left"/>
    </xf>
    <xf numFmtId="164" fontId="2" fillId="0" borderId="27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71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6" fillId="0" borderId="71" xfId="0" applyNumberFormat="1" applyFont="1" applyBorder="1" applyAlignment="1">
      <alignment horizontal="left"/>
    </xf>
    <xf numFmtId="164" fontId="2" fillId="0" borderId="1" xfId="2" applyNumberFormat="1" applyFont="1" applyBorder="1" applyAlignment="1">
      <alignment horizontal="left"/>
    </xf>
    <xf numFmtId="164" fontId="2" fillId="0" borderId="11" xfId="2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4" xfId="2" applyNumberFormat="1" applyFont="1" applyBorder="1" applyAlignment="1">
      <alignment horizontal="left"/>
    </xf>
    <xf numFmtId="164" fontId="8" fillId="0" borderId="19" xfId="2" applyNumberFormat="1" applyFont="1" applyBorder="1" applyAlignment="1">
      <alignment horizontal="left"/>
    </xf>
    <xf numFmtId="164" fontId="2" fillId="0" borderId="3" xfId="2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5" xfId="2" applyNumberFormat="1" applyFont="1" applyBorder="1" applyAlignment="1">
      <alignment horizontal="left"/>
    </xf>
    <xf numFmtId="164" fontId="2" fillId="0" borderId="3" xfId="2" applyNumberFormat="1" applyFont="1" applyFill="1" applyBorder="1" applyAlignment="1">
      <alignment horizontal="left"/>
    </xf>
    <xf numFmtId="164" fontId="2" fillId="0" borderId="51" xfId="0" applyNumberFormat="1" applyFont="1" applyBorder="1" applyAlignment="1">
      <alignment horizontal="left"/>
    </xf>
    <xf numFmtId="164" fontId="2" fillId="0" borderId="82" xfId="0" applyNumberFormat="1" applyFont="1" applyBorder="1" applyAlignment="1">
      <alignment horizontal="left"/>
    </xf>
    <xf numFmtId="164" fontId="8" fillId="0" borderId="87" xfId="2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2" fillId="0" borderId="0" xfId="0" applyNumberFormat="1" applyFont="1" applyBorder="1" applyAlignment="1">
      <alignment horizontal="left"/>
    </xf>
    <xf numFmtId="164" fontId="2" fillId="0" borderId="53" xfId="0" applyNumberFormat="1" applyFont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3" fillId="0" borderId="54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center"/>
    </xf>
    <xf numFmtId="4" fontId="2" fillId="0" borderId="5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53" xfId="0" applyNumberFormat="1" applyFont="1" applyBorder="1" applyAlignment="1">
      <alignment horizontal="center"/>
    </xf>
    <xf numFmtId="10" fontId="6" fillId="0" borderId="71" xfId="5" applyNumberFormat="1" applyFont="1" applyBorder="1" applyAlignment="1">
      <alignment horizontal="center"/>
    </xf>
    <xf numFmtId="164" fontId="8" fillId="0" borderId="9" xfId="2" applyNumberFormat="1" applyFont="1" applyBorder="1" applyAlignment="1">
      <alignment horizontal="center"/>
    </xf>
    <xf numFmtId="0" fontId="8" fillId="0" borderId="1" xfId="0" applyFont="1" applyBorder="1" applyAlignment="1"/>
    <xf numFmtId="17" fontId="2" fillId="0" borderId="7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5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6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6" fontId="21" fillId="0" borderId="49" xfId="1" applyNumberFormat="1" applyFont="1" applyBorder="1" applyAlignment="1">
      <alignment horizontal="center"/>
    </xf>
    <xf numFmtId="166" fontId="21" fillId="0" borderId="57" xfId="1" applyNumberFormat="1" applyFont="1" applyBorder="1" applyAlignment="1">
      <alignment horizontal="center"/>
    </xf>
    <xf numFmtId="166" fontId="12" fillId="0" borderId="56" xfId="0" applyNumberFormat="1" applyFont="1" applyBorder="1" applyAlignment="1">
      <alignment horizontal="center"/>
    </xf>
    <xf numFmtId="166" fontId="12" fillId="0" borderId="53" xfId="0" applyNumberFormat="1" applyFont="1" applyBorder="1" applyAlignment="1">
      <alignment horizontal="center"/>
    </xf>
    <xf numFmtId="166" fontId="12" fillId="0" borderId="80" xfId="0" applyNumberFormat="1" applyFont="1" applyBorder="1" applyAlignment="1">
      <alignment horizontal="center"/>
    </xf>
    <xf numFmtId="166" fontId="12" fillId="0" borderId="35" xfId="0" applyNumberFormat="1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166" fontId="21" fillId="0" borderId="50" xfId="1" applyNumberFormat="1" applyFont="1" applyBorder="1" applyAlignment="1">
      <alignment horizontal="center"/>
    </xf>
    <xf numFmtId="166" fontId="21" fillId="0" borderId="69" xfId="1" applyNumberFormat="1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49" fontId="21" fillId="0" borderId="81" xfId="0" applyNumberFormat="1" applyFont="1" applyBorder="1" applyAlignment="1">
      <alignment horizontal="center"/>
    </xf>
    <xf numFmtId="49" fontId="21" fillId="0" borderId="55" xfId="0" applyNumberFormat="1" applyFont="1" applyBorder="1" applyAlignment="1">
      <alignment horizontal="center"/>
    </xf>
    <xf numFmtId="49" fontId="21" fillId="0" borderId="52" xfId="0" applyNumberFormat="1" applyFont="1" applyBorder="1" applyAlignment="1">
      <alignment horizontal="center"/>
    </xf>
    <xf numFmtId="49" fontId="21" fillId="0" borderId="47" xfId="0" applyNumberFormat="1" applyFont="1" applyBorder="1" applyAlignment="1">
      <alignment horizontal="center"/>
    </xf>
    <xf numFmtId="49" fontId="21" fillId="0" borderId="46" xfId="0" applyNumberFormat="1" applyFont="1" applyBorder="1" applyAlignment="1">
      <alignment horizontal="center"/>
    </xf>
    <xf numFmtId="2" fontId="19" fillId="0" borderId="0" xfId="3" applyNumberFormat="1" applyFont="1" applyAlignment="1">
      <alignment horizontal="center"/>
    </xf>
    <xf numFmtId="2" fontId="20" fillId="0" borderId="0" xfId="3" applyNumberFormat="1" applyFont="1" applyAlignment="1">
      <alignment horizontal="center" vertical="center"/>
    </xf>
    <xf numFmtId="2" fontId="20" fillId="0" borderId="35" xfId="3" applyNumberFormat="1" applyFont="1" applyBorder="1" applyAlignment="1">
      <alignment horizontal="center" vertical="center"/>
    </xf>
    <xf numFmtId="2" fontId="20" fillId="0" borderId="37" xfId="3" applyNumberFormat="1" applyFont="1" applyBorder="1" applyAlignment="1">
      <alignment horizontal="center" vertical="center"/>
    </xf>
    <xf numFmtId="2" fontId="20" fillId="0" borderId="39" xfId="3" applyNumberFormat="1" applyFont="1" applyBorder="1" applyAlignment="1">
      <alignment horizontal="center" vertical="center"/>
    </xf>
    <xf numFmtId="2" fontId="20" fillId="0" borderId="38" xfId="3" applyNumberFormat="1" applyFont="1" applyBorder="1" applyAlignment="1">
      <alignment horizontal="center" vertical="center"/>
    </xf>
    <xf numFmtId="2" fontId="20" fillId="0" borderId="40" xfId="3" applyNumberFormat="1" applyFont="1" applyBorder="1" applyAlignment="1">
      <alignment horizontal="center" vertical="center"/>
    </xf>
    <xf numFmtId="2" fontId="20" fillId="0" borderId="38" xfId="3" applyNumberFormat="1" applyFont="1" applyBorder="1" applyAlignment="1">
      <alignment horizontal="center" vertical="center" wrapText="1"/>
    </xf>
    <xf numFmtId="2" fontId="20" fillId="0" borderId="40" xfId="3" applyNumberFormat="1" applyFont="1" applyBorder="1" applyAlignment="1">
      <alignment horizontal="center" vertical="center" wrapText="1"/>
    </xf>
    <xf numFmtId="49" fontId="21" fillId="0" borderId="78" xfId="0" applyNumberFormat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2" fontId="20" fillId="0" borderId="38" xfId="3" applyNumberFormat="1" applyFont="1" applyBorder="1" applyAlignment="1">
      <alignment horizontal="center"/>
    </xf>
    <xf numFmtId="2" fontId="20" fillId="0" borderId="40" xfId="3" applyNumberFormat="1" applyFont="1" applyBorder="1" applyAlignment="1">
      <alignment horizontal="center"/>
    </xf>
    <xf numFmtId="2" fontId="20" fillId="0" borderId="73" xfId="3" applyNumberFormat="1" applyFont="1" applyBorder="1" applyAlignment="1">
      <alignment horizontal="center"/>
    </xf>
    <xf numFmtId="2" fontId="20" fillId="0" borderId="74" xfId="3" applyNumberFormat="1" applyFont="1" applyBorder="1" applyAlignment="1">
      <alignment horizontal="center"/>
    </xf>
    <xf numFmtId="0" fontId="26" fillId="0" borderId="0" xfId="7" applyNumberFormat="1" applyFont="1" applyBorder="1" applyAlignment="1" applyProtection="1">
      <alignment horizontal="left"/>
    </xf>
    <xf numFmtId="0" fontId="26" fillId="0" borderId="53" xfId="7" applyNumberFormat="1" applyFont="1" applyBorder="1" applyAlignment="1" applyProtection="1">
      <alignment horizontal="center" vertical="center"/>
    </xf>
    <xf numFmtId="0" fontId="24" fillId="0" borderId="0" xfId="7" applyNumberFormat="1" applyFont="1" applyBorder="1" applyAlignment="1" applyProtection="1">
      <alignment horizontal="left" vertical="top"/>
    </xf>
    <xf numFmtId="49" fontId="26" fillId="7" borderId="26" xfId="7" applyNumberFormat="1" applyFont="1" applyFill="1" applyBorder="1" applyAlignment="1" applyProtection="1">
      <alignment horizontal="left" vertical="top" wrapText="1"/>
    </xf>
    <xf numFmtId="0" fontId="26" fillId="0" borderId="0" xfId="7" applyNumberFormat="1" applyFont="1" applyBorder="1" applyAlignment="1" applyProtection="1">
      <alignment horizontal="left" vertical="center"/>
    </xf>
    <xf numFmtId="171" fontId="26" fillId="0" borderId="0" xfId="7" applyNumberFormat="1" applyFont="1" applyBorder="1" applyAlignment="1" applyProtection="1">
      <alignment horizontal="right"/>
      <protection locked="0"/>
    </xf>
    <xf numFmtId="0" fontId="31" fillId="0" borderId="0" xfId="7" applyNumberFormat="1" applyFont="1" applyBorder="1" applyAlignment="1" applyProtection="1">
      <alignment horizontal="left" vertical="center"/>
    </xf>
    <xf numFmtId="0" fontId="38" fillId="0" borderId="26" xfId="7" applyNumberFormat="1" applyFont="1" applyBorder="1" applyAlignment="1" applyProtection="1">
      <alignment horizontal="left" vertical="center" wrapText="1"/>
    </xf>
    <xf numFmtId="0" fontId="26" fillId="0" borderId="26" xfId="7" applyNumberFormat="1" applyFont="1" applyBorder="1" applyAlignment="1" applyProtection="1">
      <alignment horizontal="left" vertical="center" wrapText="1"/>
    </xf>
    <xf numFmtId="0" fontId="33" fillId="0" borderId="26" xfId="7" applyNumberFormat="1" applyFont="1" applyBorder="1" applyAlignment="1" applyProtection="1">
      <alignment horizontal="left" vertical="center" wrapText="1"/>
    </xf>
    <xf numFmtId="2" fontId="34" fillId="0" borderId="53" xfId="7" applyNumberFormat="1" applyFont="1" applyBorder="1" applyAlignment="1" applyProtection="1">
      <alignment horizontal="center" vertical="center"/>
    </xf>
    <xf numFmtId="0" fontId="26" fillId="0" borderId="0" xfId="7" applyNumberFormat="1" applyFont="1" applyBorder="1" applyAlignment="1" applyProtection="1">
      <alignment horizontal="center" vertical="top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top"/>
    </xf>
    <xf numFmtId="0" fontId="26" fillId="0" borderId="26" xfId="7" applyNumberFormat="1" applyFont="1" applyBorder="1" applyAlignment="1" applyProtection="1">
      <alignment horizontal="left" vertical="center"/>
    </xf>
    <xf numFmtId="0" fontId="29" fillId="0" borderId="26" xfId="7" applyNumberFormat="1" applyFont="1" applyBorder="1" applyAlignment="1" applyProtection="1">
      <alignment horizontal="left" wrapText="1"/>
    </xf>
    <xf numFmtId="10" fontId="29" fillId="7" borderId="26" xfId="7" applyNumberFormat="1" applyFont="1" applyFill="1" applyBorder="1" applyAlignment="1" applyProtection="1">
      <alignment horizontal="center"/>
      <protection locked="0"/>
    </xf>
    <xf numFmtId="0" fontId="29" fillId="0" borderId="26" xfId="7" applyNumberFormat="1" applyFont="1" applyBorder="1" applyAlignment="1" applyProtection="1">
      <alignment horizontal="left"/>
    </xf>
    <xf numFmtId="0" fontId="31" fillId="0" borderId="26" xfId="7" applyNumberFormat="1" applyFont="1" applyBorder="1" applyAlignment="1" applyProtection="1">
      <alignment horizontal="center" vertical="center"/>
    </xf>
    <xf numFmtId="4" fontId="31" fillId="0" borderId="26" xfId="7" applyNumberFormat="1" applyFont="1" applyBorder="1" applyAlignment="1" applyProtection="1">
      <alignment horizontal="center" vertical="center" wrapText="1"/>
    </xf>
    <xf numFmtId="0" fontId="31" fillId="0" borderId="26" xfId="7" applyNumberFormat="1" applyFont="1" applyBorder="1" applyAlignment="1" applyProtection="1">
      <alignment horizontal="center"/>
    </xf>
    <xf numFmtId="0" fontId="24" fillId="0" borderId="66" xfId="7" applyNumberFormat="1" applyFont="1" applyBorder="1" applyAlignment="1" applyProtection="1">
      <alignment horizontal="left" vertical="top"/>
    </xf>
    <xf numFmtId="0" fontId="29" fillId="0" borderId="40" xfId="7" applyNumberFormat="1" applyFont="1" applyBorder="1" applyAlignment="1" applyProtection="1">
      <alignment horizontal="left" wrapText="1"/>
    </xf>
    <xf numFmtId="0" fontId="24" fillId="0" borderId="64" xfId="7" applyNumberFormat="1" applyFont="1" applyBorder="1" applyAlignment="1" applyProtection="1">
      <alignment horizontal="left" vertical="top"/>
    </xf>
    <xf numFmtId="170" fontId="29" fillId="7" borderId="40" xfId="7" applyNumberFormat="1" applyFont="1" applyFill="1" applyBorder="1" applyAlignment="1" applyProtection="1">
      <alignment horizontal="left"/>
      <protection locked="0"/>
    </xf>
    <xf numFmtId="0" fontId="26" fillId="7" borderId="40" xfId="7" applyNumberFormat="1" applyFont="1" applyFill="1" applyBorder="1" applyAlignment="1" applyProtection="1">
      <alignment horizontal="center" vertical="top" wrapText="1"/>
      <protection locked="0"/>
    </xf>
    <xf numFmtId="0" fontId="26" fillId="0" borderId="66" xfId="7" applyNumberFormat="1" applyFont="1" applyBorder="1" applyAlignment="1" applyProtection="1">
      <alignment horizontal="center"/>
    </xf>
    <xf numFmtId="0" fontId="24" fillId="0" borderId="40" xfId="7" applyNumberFormat="1" applyFont="1" applyBorder="1" applyAlignment="1" applyProtection="1">
      <alignment horizontal="center"/>
    </xf>
    <xf numFmtId="0" fontId="26" fillId="0" borderId="40" xfId="7" applyNumberFormat="1" applyFont="1" applyBorder="1" applyAlignment="1" applyProtection="1">
      <alignment horizontal="left" vertical="top" wrapText="1"/>
    </xf>
    <xf numFmtId="49" fontId="26" fillId="0" borderId="40" xfId="7" applyNumberFormat="1" applyFont="1" applyBorder="1" applyAlignment="1" applyProtection="1">
      <alignment horizontal="left" vertical="top" wrapText="1"/>
    </xf>
    <xf numFmtId="0" fontId="18" fillId="3" borderId="30" xfId="6" applyFont="1" applyFill="1" applyBorder="1" applyAlignment="1">
      <alignment horizontal="center" vertical="center" wrapText="1"/>
    </xf>
    <xf numFmtId="0" fontId="18" fillId="3" borderId="31" xfId="6" applyFont="1" applyFill="1" applyBorder="1" applyAlignment="1">
      <alignment horizontal="center" vertical="center" wrapText="1"/>
    </xf>
    <xf numFmtId="0" fontId="18" fillId="3" borderId="32" xfId="6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9">
    <cellStyle name="Moeda" xfId="2" builtinId="4"/>
    <cellStyle name="Normal" xfId="0" builtinId="0"/>
    <cellStyle name="Normal 3" xfId="8"/>
    <cellStyle name="Normal_Pesquisa no referencial 10 de maio de 2013" xfId="6"/>
    <cellStyle name="Normal_Plan1" xfId="3"/>
    <cellStyle name="Normal_Planilha de Preços Unitários 2000-2001" xfId="4"/>
    <cellStyle name="Porcentagem" xfId="5" builtinId="5"/>
    <cellStyle name="Texto Explicativo" xfId="7" builtinId="53"/>
    <cellStyle name="Vírgula" xfId="1" builtinId="3"/>
  </cellStyles>
  <dxfs count="104"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9525</xdr:colOff>
      <xdr:row>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371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47625</xdr:rowOff>
    </xdr:from>
    <xdr:to>
      <xdr:col>1</xdr:col>
      <xdr:colOff>428626</xdr:colOff>
      <xdr:row>4</xdr:row>
      <xdr:rowOff>47625</xdr:rowOff>
    </xdr:to>
    <xdr:pic>
      <xdr:nvPicPr>
        <xdr:cNvPr id="3" name="Imagem 4" descr="Brasão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47625"/>
          <a:ext cx="647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57150</xdr:rowOff>
    </xdr:from>
    <xdr:to>
      <xdr:col>1</xdr:col>
      <xdr:colOff>419100</xdr:colOff>
      <xdr:row>3</xdr:row>
      <xdr:rowOff>171450</xdr:rowOff>
    </xdr:to>
    <xdr:pic>
      <xdr:nvPicPr>
        <xdr:cNvPr id="2" name="Imagem 4" descr="Brasã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647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9493BE5-CE60-4689-B4E4-322CF4469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209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47625</xdr:rowOff>
    </xdr:from>
    <xdr:to>
      <xdr:col>1</xdr:col>
      <xdr:colOff>428626</xdr:colOff>
      <xdr:row>4</xdr:row>
      <xdr:rowOff>47625</xdr:rowOff>
    </xdr:to>
    <xdr:pic>
      <xdr:nvPicPr>
        <xdr:cNvPr id="3" name="Imagem 4" descr="Brasão.jpg">
          <a:extLst>
            <a:ext uri="{FF2B5EF4-FFF2-40B4-BE49-F238E27FC236}">
              <a16:creationId xmlns:a16="http://schemas.microsoft.com/office/drawing/2014/main" xmlns="" id="{362AEE4A-28DF-4F6C-964D-F1FF84BA5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47625"/>
          <a:ext cx="647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view="pageBreakPreview" topLeftCell="A67" zoomScaleNormal="100" zoomScaleSheetLayoutView="100" workbookViewId="0">
      <selection activeCell="C72" sqref="C72"/>
    </sheetView>
  </sheetViews>
  <sheetFormatPr defaultRowHeight="12.75" x14ac:dyDescent="0.2"/>
  <cols>
    <col min="1" max="1" width="6.140625" style="1" customWidth="1"/>
    <col min="2" max="2" width="11.85546875" style="1" customWidth="1"/>
    <col min="3" max="3" width="68.28515625" style="3" customWidth="1"/>
    <col min="4" max="4" width="7.7109375" style="2" customWidth="1"/>
    <col min="5" max="5" width="14.7109375" style="299" bestFit="1" customWidth="1"/>
    <col min="6" max="6" width="18" style="284" bestFit="1" customWidth="1"/>
    <col min="7" max="7" width="19.140625" style="284" customWidth="1"/>
    <col min="8" max="8" width="21.85546875" style="284" bestFit="1" customWidth="1"/>
    <col min="9" max="9" width="14.7109375" style="1" bestFit="1" customWidth="1"/>
    <col min="10" max="11" width="10.7109375" style="1" customWidth="1"/>
    <col min="12" max="12" width="16.5703125" style="1" bestFit="1" customWidth="1"/>
    <col min="13" max="256" width="9.140625" style="1"/>
    <col min="257" max="257" width="6.140625" style="1" customWidth="1"/>
    <col min="258" max="258" width="10.5703125" style="1" customWidth="1"/>
    <col min="259" max="259" width="77.140625" style="1" customWidth="1"/>
    <col min="260" max="260" width="7.7109375" style="1" customWidth="1"/>
    <col min="261" max="261" width="13.28515625" style="1" bestFit="1" customWidth="1"/>
    <col min="262" max="262" width="15.42578125" style="1" customWidth="1"/>
    <col min="263" max="263" width="15.42578125" style="1" bestFit="1" customWidth="1"/>
    <col min="264" max="264" width="21.5703125" style="1" customWidth="1"/>
    <col min="265" max="265" width="9.140625" style="1"/>
    <col min="266" max="266" width="16.5703125" style="1" bestFit="1" customWidth="1"/>
    <col min="267" max="512" width="9.140625" style="1"/>
    <col min="513" max="513" width="6.140625" style="1" customWidth="1"/>
    <col min="514" max="514" width="10.5703125" style="1" customWidth="1"/>
    <col min="515" max="515" width="77.140625" style="1" customWidth="1"/>
    <col min="516" max="516" width="7.7109375" style="1" customWidth="1"/>
    <col min="517" max="517" width="13.28515625" style="1" bestFit="1" customWidth="1"/>
    <col min="518" max="518" width="15.42578125" style="1" customWidth="1"/>
    <col min="519" max="519" width="15.42578125" style="1" bestFit="1" customWidth="1"/>
    <col min="520" max="520" width="21.5703125" style="1" customWidth="1"/>
    <col min="521" max="521" width="9.140625" style="1"/>
    <col min="522" max="522" width="16.5703125" style="1" bestFit="1" customWidth="1"/>
    <col min="523" max="768" width="9.140625" style="1"/>
    <col min="769" max="769" width="6.140625" style="1" customWidth="1"/>
    <col min="770" max="770" width="10.5703125" style="1" customWidth="1"/>
    <col min="771" max="771" width="77.140625" style="1" customWidth="1"/>
    <col min="772" max="772" width="7.7109375" style="1" customWidth="1"/>
    <col min="773" max="773" width="13.28515625" style="1" bestFit="1" customWidth="1"/>
    <col min="774" max="774" width="15.42578125" style="1" customWidth="1"/>
    <col min="775" max="775" width="15.42578125" style="1" bestFit="1" customWidth="1"/>
    <col min="776" max="776" width="21.5703125" style="1" customWidth="1"/>
    <col min="777" max="777" width="9.140625" style="1"/>
    <col min="778" max="778" width="16.5703125" style="1" bestFit="1" customWidth="1"/>
    <col min="779" max="1024" width="9.140625" style="1"/>
    <col min="1025" max="1025" width="6.140625" style="1" customWidth="1"/>
    <col min="1026" max="1026" width="10.5703125" style="1" customWidth="1"/>
    <col min="1027" max="1027" width="77.140625" style="1" customWidth="1"/>
    <col min="1028" max="1028" width="7.7109375" style="1" customWidth="1"/>
    <col min="1029" max="1029" width="13.28515625" style="1" bestFit="1" customWidth="1"/>
    <col min="1030" max="1030" width="15.42578125" style="1" customWidth="1"/>
    <col min="1031" max="1031" width="15.42578125" style="1" bestFit="1" customWidth="1"/>
    <col min="1032" max="1032" width="21.5703125" style="1" customWidth="1"/>
    <col min="1033" max="1033" width="9.140625" style="1"/>
    <col min="1034" max="1034" width="16.5703125" style="1" bestFit="1" customWidth="1"/>
    <col min="1035" max="1280" width="9.140625" style="1"/>
    <col min="1281" max="1281" width="6.140625" style="1" customWidth="1"/>
    <col min="1282" max="1282" width="10.5703125" style="1" customWidth="1"/>
    <col min="1283" max="1283" width="77.140625" style="1" customWidth="1"/>
    <col min="1284" max="1284" width="7.7109375" style="1" customWidth="1"/>
    <col min="1285" max="1285" width="13.28515625" style="1" bestFit="1" customWidth="1"/>
    <col min="1286" max="1286" width="15.42578125" style="1" customWidth="1"/>
    <col min="1287" max="1287" width="15.42578125" style="1" bestFit="1" customWidth="1"/>
    <col min="1288" max="1288" width="21.5703125" style="1" customWidth="1"/>
    <col min="1289" max="1289" width="9.140625" style="1"/>
    <col min="1290" max="1290" width="16.5703125" style="1" bestFit="1" customWidth="1"/>
    <col min="1291" max="1536" width="9.140625" style="1"/>
    <col min="1537" max="1537" width="6.140625" style="1" customWidth="1"/>
    <col min="1538" max="1538" width="10.5703125" style="1" customWidth="1"/>
    <col min="1539" max="1539" width="77.140625" style="1" customWidth="1"/>
    <col min="1540" max="1540" width="7.7109375" style="1" customWidth="1"/>
    <col min="1541" max="1541" width="13.28515625" style="1" bestFit="1" customWidth="1"/>
    <col min="1542" max="1542" width="15.42578125" style="1" customWidth="1"/>
    <col min="1543" max="1543" width="15.42578125" style="1" bestFit="1" customWidth="1"/>
    <col min="1544" max="1544" width="21.5703125" style="1" customWidth="1"/>
    <col min="1545" max="1545" width="9.140625" style="1"/>
    <col min="1546" max="1546" width="16.5703125" style="1" bestFit="1" customWidth="1"/>
    <col min="1547" max="1792" width="9.140625" style="1"/>
    <col min="1793" max="1793" width="6.140625" style="1" customWidth="1"/>
    <col min="1794" max="1794" width="10.5703125" style="1" customWidth="1"/>
    <col min="1795" max="1795" width="77.140625" style="1" customWidth="1"/>
    <col min="1796" max="1796" width="7.7109375" style="1" customWidth="1"/>
    <col min="1797" max="1797" width="13.28515625" style="1" bestFit="1" customWidth="1"/>
    <col min="1798" max="1798" width="15.42578125" style="1" customWidth="1"/>
    <col min="1799" max="1799" width="15.42578125" style="1" bestFit="1" customWidth="1"/>
    <col min="1800" max="1800" width="21.5703125" style="1" customWidth="1"/>
    <col min="1801" max="1801" width="9.140625" style="1"/>
    <col min="1802" max="1802" width="16.5703125" style="1" bestFit="1" customWidth="1"/>
    <col min="1803" max="2048" width="9.140625" style="1"/>
    <col min="2049" max="2049" width="6.140625" style="1" customWidth="1"/>
    <col min="2050" max="2050" width="10.5703125" style="1" customWidth="1"/>
    <col min="2051" max="2051" width="77.140625" style="1" customWidth="1"/>
    <col min="2052" max="2052" width="7.7109375" style="1" customWidth="1"/>
    <col min="2053" max="2053" width="13.28515625" style="1" bestFit="1" customWidth="1"/>
    <col min="2054" max="2054" width="15.42578125" style="1" customWidth="1"/>
    <col min="2055" max="2055" width="15.42578125" style="1" bestFit="1" customWidth="1"/>
    <col min="2056" max="2056" width="21.5703125" style="1" customWidth="1"/>
    <col min="2057" max="2057" width="9.140625" style="1"/>
    <col min="2058" max="2058" width="16.5703125" style="1" bestFit="1" customWidth="1"/>
    <col min="2059" max="2304" width="9.140625" style="1"/>
    <col min="2305" max="2305" width="6.140625" style="1" customWidth="1"/>
    <col min="2306" max="2306" width="10.5703125" style="1" customWidth="1"/>
    <col min="2307" max="2307" width="77.140625" style="1" customWidth="1"/>
    <col min="2308" max="2308" width="7.7109375" style="1" customWidth="1"/>
    <col min="2309" max="2309" width="13.28515625" style="1" bestFit="1" customWidth="1"/>
    <col min="2310" max="2310" width="15.42578125" style="1" customWidth="1"/>
    <col min="2311" max="2311" width="15.42578125" style="1" bestFit="1" customWidth="1"/>
    <col min="2312" max="2312" width="21.5703125" style="1" customWidth="1"/>
    <col min="2313" max="2313" width="9.140625" style="1"/>
    <col min="2314" max="2314" width="16.5703125" style="1" bestFit="1" customWidth="1"/>
    <col min="2315" max="2560" width="9.140625" style="1"/>
    <col min="2561" max="2561" width="6.140625" style="1" customWidth="1"/>
    <col min="2562" max="2562" width="10.5703125" style="1" customWidth="1"/>
    <col min="2563" max="2563" width="77.140625" style="1" customWidth="1"/>
    <col min="2564" max="2564" width="7.7109375" style="1" customWidth="1"/>
    <col min="2565" max="2565" width="13.28515625" style="1" bestFit="1" customWidth="1"/>
    <col min="2566" max="2566" width="15.42578125" style="1" customWidth="1"/>
    <col min="2567" max="2567" width="15.42578125" style="1" bestFit="1" customWidth="1"/>
    <col min="2568" max="2568" width="21.5703125" style="1" customWidth="1"/>
    <col min="2569" max="2569" width="9.140625" style="1"/>
    <col min="2570" max="2570" width="16.5703125" style="1" bestFit="1" customWidth="1"/>
    <col min="2571" max="2816" width="9.140625" style="1"/>
    <col min="2817" max="2817" width="6.140625" style="1" customWidth="1"/>
    <col min="2818" max="2818" width="10.5703125" style="1" customWidth="1"/>
    <col min="2819" max="2819" width="77.140625" style="1" customWidth="1"/>
    <col min="2820" max="2820" width="7.7109375" style="1" customWidth="1"/>
    <col min="2821" max="2821" width="13.28515625" style="1" bestFit="1" customWidth="1"/>
    <col min="2822" max="2822" width="15.42578125" style="1" customWidth="1"/>
    <col min="2823" max="2823" width="15.42578125" style="1" bestFit="1" customWidth="1"/>
    <col min="2824" max="2824" width="21.5703125" style="1" customWidth="1"/>
    <col min="2825" max="2825" width="9.140625" style="1"/>
    <col min="2826" max="2826" width="16.5703125" style="1" bestFit="1" customWidth="1"/>
    <col min="2827" max="3072" width="9.140625" style="1"/>
    <col min="3073" max="3073" width="6.140625" style="1" customWidth="1"/>
    <col min="3074" max="3074" width="10.5703125" style="1" customWidth="1"/>
    <col min="3075" max="3075" width="77.140625" style="1" customWidth="1"/>
    <col min="3076" max="3076" width="7.7109375" style="1" customWidth="1"/>
    <col min="3077" max="3077" width="13.28515625" style="1" bestFit="1" customWidth="1"/>
    <col min="3078" max="3078" width="15.42578125" style="1" customWidth="1"/>
    <col min="3079" max="3079" width="15.42578125" style="1" bestFit="1" customWidth="1"/>
    <col min="3080" max="3080" width="21.5703125" style="1" customWidth="1"/>
    <col min="3081" max="3081" width="9.140625" style="1"/>
    <col min="3082" max="3082" width="16.5703125" style="1" bestFit="1" customWidth="1"/>
    <col min="3083" max="3328" width="9.140625" style="1"/>
    <col min="3329" max="3329" width="6.140625" style="1" customWidth="1"/>
    <col min="3330" max="3330" width="10.5703125" style="1" customWidth="1"/>
    <col min="3331" max="3331" width="77.140625" style="1" customWidth="1"/>
    <col min="3332" max="3332" width="7.7109375" style="1" customWidth="1"/>
    <col min="3333" max="3333" width="13.28515625" style="1" bestFit="1" customWidth="1"/>
    <col min="3334" max="3334" width="15.42578125" style="1" customWidth="1"/>
    <col min="3335" max="3335" width="15.42578125" style="1" bestFit="1" customWidth="1"/>
    <col min="3336" max="3336" width="21.5703125" style="1" customWidth="1"/>
    <col min="3337" max="3337" width="9.140625" style="1"/>
    <col min="3338" max="3338" width="16.5703125" style="1" bestFit="1" customWidth="1"/>
    <col min="3339" max="3584" width="9.140625" style="1"/>
    <col min="3585" max="3585" width="6.140625" style="1" customWidth="1"/>
    <col min="3586" max="3586" width="10.5703125" style="1" customWidth="1"/>
    <col min="3587" max="3587" width="77.140625" style="1" customWidth="1"/>
    <col min="3588" max="3588" width="7.7109375" style="1" customWidth="1"/>
    <col min="3589" max="3589" width="13.28515625" style="1" bestFit="1" customWidth="1"/>
    <col min="3590" max="3590" width="15.42578125" style="1" customWidth="1"/>
    <col min="3591" max="3591" width="15.42578125" style="1" bestFit="1" customWidth="1"/>
    <col min="3592" max="3592" width="21.5703125" style="1" customWidth="1"/>
    <col min="3593" max="3593" width="9.140625" style="1"/>
    <col min="3594" max="3594" width="16.5703125" style="1" bestFit="1" customWidth="1"/>
    <col min="3595" max="3840" width="9.140625" style="1"/>
    <col min="3841" max="3841" width="6.140625" style="1" customWidth="1"/>
    <col min="3842" max="3842" width="10.5703125" style="1" customWidth="1"/>
    <col min="3843" max="3843" width="77.140625" style="1" customWidth="1"/>
    <col min="3844" max="3844" width="7.7109375" style="1" customWidth="1"/>
    <col min="3845" max="3845" width="13.28515625" style="1" bestFit="1" customWidth="1"/>
    <col min="3846" max="3846" width="15.42578125" style="1" customWidth="1"/>
    <col min="3847" max="3847" width="15.42578125" style="1" bestFit="1" customWidth="1"/>
    <col min="3848" max="3848" width="21.5703125" style="1" customWidth="1"/>
    <col min="3849" max="3849" width="9.140625" style="1"/>
    <col min="3850" max="3850" width="16.5703125" style="1" bestFit="1" customWidth="1"/>
    <col min="3851" max="4096" width="9.140625" style="1"/>
    <col min="4097" max="4097" width="6.140625" style="1" customWidth="1"/>
    <col min="4098" max="4098" width="10.5703125" style="1" customWidth="1"/>
    <col min="4099" max="4099" width="77.140625" style="1" customWidth="1"/>
    <col min="4100" max="4100" width="7.7109375" style="1" customWidth="1"/>
    <col min="4101" max="4101" width="13.28515625" style="1" bestFit="1" customWidth="1"/>
    <col min="4102" max="4102" width="15.42578125" style="1" customWidth="1"/>
    <col min="4103" max="4103" width="15.42578125" style="1" bestFit="1" customWidth="1"/>
    <col min="4104" max="4104" width="21.5703125" style="1" customWidth="1"/>
    <col min="4105" max="4105" width="9.140625" style="1"/>
    <col min="4106" max="4106" width="16.5703125" style="1" bestFit="1" customWidth="1"/>
    <col min="4107" max="4352" width="9.140625" style="1"/>
    <col min="4353" max="4353" width="6.140625" style="1" customWidth="1"/>
    <col min="4354" max="4354" width="10.5703125" style="1" customWidth="1"/>
    <col min="4355" max="4355" width="77.140625" style="1" customWidth="1"/>
    <col min="4356" max="4356" width="7.7109375" style="1" customWidth="1"/>
    <col min="4357" max="4357" width="13.28515625" style="1" bestFit="1" customWidth="1"/>
    <col min="4358" max="4358" width="15.42578125" style="1" customWidth="1"/>
    <col min="4359" max="4359" width="15.42578125" style="1" bestFit="1" customWidth="1"/>
    <col min="4360" max="4360" width="21.5703125" style="1" customWidth="1"/>
    <col min="4361" max="4361" width="9.140625" style="1"/>
    <col min="4362" max="4362" width="16.5703125" style="1" bestFit="1" customWidth="1"/>
    <col min="4363" max="4608" width="9.140625" style="1"/>
    <col min="4609" max="4609" width="6.140625" style="1" customWidth="1"/>
    <col min="4610" max="4610" width="10.5703125" style="1" customWidth="1"/>
    <col min="4611" max="4611" width="77.140625" style="1" customWidth="1"/>
    <col min="4612" max="4612" width="7.7109375" style="1" customWidth="1"/>
    <col min="4613" max="4613" width="13.28515625" style="1" bestFit="1" customWidth="1"/>
    <col min="4614" max="4614" width="15.42578125" style="1" customWidth="1"/>
    <col min="4615" max="4615" width="15.42578125" style="1" bestFit="1" customWidth="1"/>
    <col min="4616" max="4616" width="21.5703125" style="1" customWidth="1"/>
    <col min="4617" max="4617" width="9.140625" style="1"/>
    <col min="4618" max="4618" width="16.5703125" style="1" bestFit="1" customWidth="1"/>
    <col min="4619" max="4864" width="9.140625" style="1"/>
    <col min="4865" max="4865" width="6.140625" style="1" customWidth="1"/>
    <col min="4866" max="4866" width="10.5703125" style="1" customWidth="1"/>
    <col min="4867" max="4867" width="77.140625" style="1" customWidth="1"/>
    <col min="4868" max="4868" width="7.7109375" style="1" customWidth="1"/>
    <col min="4869" max="4869" width="13.28515625" style="1" bestFit="1" customWidth="1"/>
    <col min="4870" max="4870" width="15.42578125" style="1" customWidth="1"/>
    <col min="4871" max="4871" width="15.42578125" style="1" bestFit="1" customWidth="1"/>
    <col min="4872" max="4872" width="21.5703125" style="1" customWidth="1"/>
    <col min="4873" max="4873" width="9.140625" style="1"/>
    <col min="4874" max="4874" width="16.5703125" style="1" bestFit="1" customWidth="1"/>
    <col min="4875" max="5120" width="9.140625" style="1"/>
    <col min="5121" max="5121" width="6.140625" style="1" customWidth="1"/>
    <col min="5122" max="5122" width="10.5703125" style="1" customWidth="1"/>
    <col min="5123" max="5123" width="77.140625" style="1" customWidth="1"/>
    <col min="5124" max="5124" width="7.7109375" style="1" customWidth="1"/>
    <col min="5125" max="5125" width="13.28515625" style="1" bestFit="1" customWidth="1"/>
    <col min="5126" max="5126" width="15.42578125" style="1" customWidth="1"/>
    <col min="5127" max="5127" width="15.42578125" style="1" bestFit="1" customWidth="1"/>
    <col min="5128" max="5128" width="21.5703125" style="1" customWidth="1"/>
    <col min="5129" max="5129" width="9.140625" style="1"/>
    <col min="5130" max="5130" width="16.5703125" style="1" bestFit="1" customWidth="1"/>
    <col min="5131" max="5376" width="9.140625" style="1"/>
    <col min="5377" max="5377" width="6.140625" style="1" customWidth="1"/>
    <col min="5378" max="5378" width="10.5703125" style="1" customWidth="1"/>
    <col min="5379" max="5379" width="77.140625" style="1" customWidth="1"/>
    <col min="5380" max="5380" width="7.7109375" style="1" customWidth="1"/>
    <col min="5381" max="5381" width="13.28515625" style="1" bestFit="1" customWidth="1"/>
    <col min="5382" max="5382" width="15.42578125" style="1" customWidth="1"/>
    <col min="5383" max="5383" width="15.42578125" style="1" bestFit="1" customWidth="1"/>
    <col min="5384" max="5384" width="21.5703125" style="1" customWidth="1"/>
    <col min="5385" max="5385" width="9.140625" style="1"/>
    <col min="5386" max="5386" width="16.5703125" style="1" bestFit="1" customWidth="1"/>
    <col min="5387" max="5632" width="9.140625" style="1"/>
    <col min="5633" max="5633" width="6.140625" style="1" customWidth="1"/>
    <col min="5634" max="5634" width="10.5703125" style="1" customWidth="1"/>
    <col min="5635" max="5635" width="77.140625" style="1" customWidth="1"/>
    <col min="5636" max="5636" width="7.7109375" style="1" customWidth="1"/>
    <col min="5637" max="5637" width="13.28515625" style="1" bestFit="1" customWidth="1"/>
    <col min="5638" max="5638" width="15.42578125" style="1" customWidth="1"/>
    <col min="5639" max="5639" width="15.42578125" style="1" bestFit="1" customWidth="1"/>
    <col min="5640" max="5640" width="21.5703125" style="1" customWidth="1"/>
    <col min="5641" max="5641" width="9.140625" style="1"/>
    <col min="5642" max="5642" width="16.5703125" style="1" bestFit="1" customWidth="1"/>
    <col min="5643" max="5888" width="9.140625" style="1"/>
    <col min="5889" max="5889" width="6.140625" style="1" customWidth="1"/>
    <col min="5890" max="5890" width="10.5703125" style="1" customWidth="1"/>
    <col min="5891" max="5891" width="77.140625" style="1" customWidth="1"/>
    <col min="5892" max="5892" width="7.7109375" style="1" customWidth="1"/>
    <col min="5893" max="5893" width="13.28515625" style="1" bestFit="1" customWidth="1"/>
    <col min="5894" max="5894" width="15.42578125" style="1" customWidth="1"/>
    <col min="5895" max="5895" width="15.42578125" style="1" bestFit="1" customWidth="1"/>
    <col min="5896" max="5896" width="21.5703125" style="1" customWidth="1"/>
    <col min="5897" max="5897" width="9.140625" style="1"/>
    <col min="5898" max="5898" width="16.5703125" style="1" bestFit="1" customWidth="1"/>
    <col min="5899" max="6144" width="9.140625" style="1"/>
    <col min="6145" max="6145" width="6.140625" style="1" customWidth="1"/>
    <col min="6146" max="6146" width="10.5703125" style="1" customWidth="1"/>
    <col min="6147" max="6147" width="77.140625" style="1" customWidth="1"/>
    <col min="6148" max="6148" width="7.7109375" style="1" customWidth="1"/>
    <col min="6149" max="6149" width="13.28515625" style="1" bestFit="1" customWidth="1"/>
    <col min="6150" max="6150" width="15.42578125" style="1" customWidth="1"/>
    <col min="6151" max="6151" width="15.42578125" style="1" bestFit="1" customWidth="1"/>
    <col min="6152" max="6152" width="21.5703125" style="1" customWidth="1"/>
    <col min="6153" max="6153" width="9.140625" style="1"/>
    <col min="6154" max="6154" width="16.5703125" style="1" bestFit="1" customWidth="1"/>
    <col min="6155" max="6400" width="9.140625" style="1"/>
    <col min="6401" max="6401" width="6.140625" style="1" customWidth="1"/>
    <col min="6402" max="6402" width="10.5703125" style="1" customWidth="1"/>
    <col min="6403" max="6403" width="77.140625" style="1" customWidth="1"/>
    <col min="6404" max="6404" width="7.7109375" style="1" customWidth="1"/>
    <col min="6405" max="6405" width="13.28515625" style="1" bestFit="1" customWidth="1"/>
    <col min="6406" max="6406" width="15.42578125" style="1" customWidth="1"/>
    <col min="6407" max="6407" width="15.42578125" style="1" bestFit="1" customWidth="1"/>
    <col min="6408" max="6408" width="21.5703125" style="1" customWidth="1"/>
    <col min="6409" max="6409" width="9.140625" style="1"/>
    <col min="6410" max="6410" width="16.5703125" style="1" bestFit="1" customWidth="1"/>
    <col min="6411" max="6656" width="9.140625" style="1"/>
    <col min="6657" max="6657" width="6.140625" style="1" customWidth="1"/>
    <col min="6658" max="6658" width="10.5703125" style="1" customWidth="1"/>
    <col min="6659" max="6659" width="77.140625" style="1" customWidth="1"/>
    <col min="6660" max="6660" width="7.7109375" style="1" customWidth="1"/>
    <col min="6661" max="6661" width="13.28515625" style="1" bestFit="1" customWidth="1"/>
    <col min="6662" max="6662" width="15.42578125" style="1" customWidth="1"/>
    <col min="6663" max="6663" width="15.42578125" style="1" bestFit="1" customWidth="1"/>
    <col min="6664" max="6664" width="21.5703125" style="1" customWidth="1"/>
    <col min="6665" max="6665" width="9.140625" style="1"/>
    <col min="6666" max="6666" width="16.5703125" style="1" bestFit="1" customWidth="1"/>
    <col min="6667" max="6912" width="9.140625" style="1"/>
    <col min="6913" max="6913" width="6.140625" style="1" customWidth="1"/>
    <col min="6914" max="6914" width="10.5703125" style="1" customWidth="1"/>
    <col min="6915" max="6915" width="77.140625" style="1" customWidth="1"/>
    <col min="6916" max="6916" width="7.7109375" style="1" customWidth="1"/>
    <col min="6917" max="6917" width="13.28515625" style="1" bestFit="1" customWidth="1"/>
    <col min="6918" max="6918" width="15.42578125" style="1" customWidth="1"/>
    <col min="6919" max="6919" width="15.42578125" style="1" bestFit="1" customWidth="1"/>
    <col min="6920" max="6920" width="21.5703125" style="1" customWidth="1"/>
    <col min="6921" max="6921" width="9.140625" style="1"/>
    <col min="6922" max="6922" width="16.5703125" style="1" bestFit="1" customWidth="1"/>
    <col min="6923" max="7168" width="9.140625" style="1"/>
    <col min="7169" max="7169" width="6.140625" style="1" customWidth="1"/>
    <col min="7170" max="7170" width="10.5703125" style="1" customWidth="1"/>
    <col min="7171" max="7171" width="77.140625" style="1" customWidth="1"/>
    <col min="7172" max="7172" width="7.7109375" style="1" customWidth="1"/>
    <col min="7173" max="7173" width="13.28515625" style="1" bestFit="1" customWidth="1"/>
    <col min="7174" max="7174" width="15.42578125" style="1" customWidth="1"/>
    <col min="7175" max="7175" width="15.42578125" style="1" bestFit="1" customWidth="1"/>
    <col min="7176" max="7176" width="21.5703125" style="1" customWidth="1"/>
    <col min="7177" max="7177" width="9.140625" style="1"/>
    <col min="7178" max="7178" width="16.5703125" style="1" bestFit="1" customWidth="1"/>
    <col min="7179" max="7424" width="9.140625" style="1"/>
    <col min="7425" max="7425" width="6.140625" style="1" customWidth="1"/>
    <col min="7426" max="7426" width="10.5703125" style="1" customWidth="1"/>
    <col min="7427" max="7427" width="77.140625" style="1" customWidth="1"/>
    <col min="7428" max="7428" width="7.7109375" style="1" customWidth="1"/>
    <col min="7429" max="7429" width="13.28515625" style="1" bestFit="1" customWidth="1"/>
    <col min="7430" max="7430" width="15.42578125" style="1" customWidth="1"/>
    <col min="7431" max="7431" width="15.42578125" style="1" bestFit="1" customWidth="1"/>
    <col min="7432" max="7432" width="21.5703125" style="1" customWidth="1"/>
    <col min="7433" max="7433" width="9.140625" style="1"/>
    <col min="7434" max="7434" width="16.5703125" style="1" bestFit="1" customWidth="1"/>
    <col min="7435" max="7680" width="9.140625" style="1"/>
    <col min="7681" max="7681" width="6.140625" style="1" customWidth="1"/>
    <col min="7682" max="7682" width="10.5703125" style="1" customWidth="1"/>
    <col min="7683" max="7683" width="77.140625" style="1" customWidth="1"/>
    <col min="7684" max="7684" width="7.7109375" style="1" customWidth="1"/>
    <col min="7685" max="7685" width="13.28515625" style="1" bestFit="1" customWidth="1"/>
    <col min="7686" max="7686" width="15.42578125" style="1" customWidth="1"/>
    <col min="7687" max="7687" width="15.42578125" style="1" bestFit="1" customWidth="1"/>
    <col min="7688" max="7688" width="21.5703125" style="1" customWidth="1"/>
    <col min="7689" max="7689" width="9.140625" style="1"/>
    <col min="7690" max="7690" width="16.5703125" style="1" bestFit="1" customWidth="1"/>
    <col min="7691" max="7936" width="9.140625" style="1"/>
    <col min="7937" max="7937" width="6.140625" style="1" customWidth="1"/>
    <col min="7938" max="7938" width="10.5703125" style="1" customWidth="1"/>
    <col min="7939" max="7939" width="77.140625" style="1" customWidth="1"/>
    <col min="7940" max="7940" width="7.7109375" style="1" customWidth="1"/>
    <col min="7941" max="7941" width="13.28515625" style="1" bestFit="1" customWidth="1"/>
    <col min="7942" max="7942" width="15.42578125" style="1" customWidth="1"/>
    <col min="7943" max="7943" width="15.42578125" style="1" bestFit="1" customWidth="1"/>
    <col min="7944" max="7944" width="21.5703125" style="1" customWidth="1"/>
    <col min="7945" max="7945" width="9.140625" style="1"/>
    <col min="7946" max="7946" width="16.5703125" style="1" bestFit="1" customWidth="1"/>
    <col min="7947" max="8192" width="9.140625" style="1"/>
    <col min="8193" max="8193" width="6.140625" style="1" customWidth="1"/>
    <col min="8194" max="8194" width="10.5703125" style="1" customWidth="1"/>
    <col min="8195" max="8195" width="77.140625" style="1" customWidth="1"/>
    <col min="8196" max="8196" width="7.7109375" style="1" customWidth="1"/>
    <col min="8197" max="8197" width="13.28515625" style="1" bestFit="1" customWidth="1"/>
    <col min="8198" max="8198" width="15.42578125" style="1" customWidth="1"/>
    <col min="8199" max="8199" width="15.42578125" style="1" bestFit="1" customWidth="1"/>
    <col min="8200" max="8200" width="21.5703125" style="1" customWidth="1"/>
    <col min="8201" max="8201" width="9.140625" style="1"/>
    <col min="8202" max="8202" width="16.5703125" style="1" bestFit="1" customWidth="1"/>
    <col min="8203" max="8448" width="9.140625" style="1"/>
    <col min="8449" max="8449" width="6.140625" style="1" customWidth="1"/>
    <col min="8450" max="8450" width="10.5703125" style="1" customWidth="1"/>
    <col min="8451" max="8451" width="77.140625" style="1" customWidth="1"/>
    <col min="8452" max="8452" width="7.7109375" style="1" customWidth="1"/>
    <col min="8453" max="8453" width="13.28515625" style="1" bestFit="1" customWidth="1"/>
    <col min="8454" max="8454" width="15.42578125" style="1" customWidth="1"/>
    <col min="8455" max="8455" width="15.42578125" style="1" bestFit="1" customWidth="1"/>
    <col min="8456" max="8456" width="21.5703125" style="1" customWidth="1"/>
    <col min="8457" max="8457" width="9.140625" style="1"/>
    <col min="8458" max="8458" width="16.5703125" style="1" bestFit="1" customWidth="1"/>
    <col min="8459" max="8704" width="9.140625" style="1"/>
    <col min="8705" max="8705" width="6.140625" style="1" customWidth="1"/>
    <col min="8706" max="8706" width="10.5703125" style="1" customWidth="1"/>
    <col min="8707" max="8707" width="77.140625" style="1" customWidth="1"/>
    <col min="8708" max="8708" width="7.7109375" style="1" customWidth="1"/>
    <col min="8709" max="8709" width="13.28515625" style="1" bestFit="1" customWidth="1"/>
    <col min="8710" max="8710" width="15.42578125" style="1" customWidth="1"/>
    <col min="8711" max="8711" width="15.42578125" style="1" bestFit="1" customWidth="1"/>
    <col min="8712" max="8712" width="21.5703125" style="1" customWidth="1"/>
    <col min="8713" max="8713" width="9.140625" style="1"/>
    <col min="8714" max="8714" width="16.5703125" style="1" bestFit="1" customWidth="1"/>
    <col min="8715" max="8960" width="9.140625" style="1"/>
    <col min="8961" max="8961" width="6.140625" style="1" customWidth="1"/>
    <col min="8962" max="8962" width="10.5703125" style="1" customWidth="1"/>
    <col min="8963" max="8963" width="77.140625" style="1" customWidth="1"/>
    <col min="8964" max="8964" width="7.7109375" style="1" customWidth="1"/>
    <col min="8965" max="8965" width="13.28515625" style="1" bestFit="1" customWidth="1"/>
    <col min="8966" max="8966" width="15.42578125" style="1" customWidth="1"/>
    <col min="8967" max="8967" width="15.42578125" style="1" bestFit="1" customWidth="1"/>
    <col min="8968" max="8968" width="21.5703125" style="1" customWidth="1"/>
    <col min="8969" max="8969" width="9.140625" style="1"/>
    <col min="8970" max="8970" width="16.5703125" style="1" bestFit="1" customWidth="1"/>
    <col min="8971" max="9216" width="9.140625" style="1"/>
    <col min="9217" max="9217" width="6.140625" style="1" customWidth="1"/>
    <col min="9218" max="9218" width="10.5703125" style="1" customWidth="1"/>
    <col min="9219" max="9219" width="77.140625" style="1" customWidth="1"/>
    <col min="9220" max="9220" width="7.7109375" style="1" customWidth="1"/>
    <col min="9221" max="9221" width="13.28515625" style="1" bestFit="1" customWidth="1"/>
    <col min="9222" max="9222" width="15.42578125" style="1" customWidth="1"/>
    <col min="9223" max="9223" width="15.42578125" style="1" bestFit="1" customWidth="1"/>
    <col min="9224" max="9224" width="21.5703125" style="1" customWidth="1"/>
    <col min="9225" max="9225" width="9.140625" style="1"/>
    <col min="9226" max="9226" width="16.5703125" style="1" bestFit="1" customWidth="1"/>
    <col min="9227" max="9472" width="9.140625" style="1"/>
    <col min="9473" max="9473" width="6.140625" style="1" customWidth="1"/>
    <col min="9474" max="9474" width="10.5703125" style="1" customWidth="1"/>
    <col min="9475" max="9475" width="77.140625" style="1" customWidth="1"/>
    <col min="9476" max="9476" width="7.7109375" style="1" customWidth="1"/>
    <col min="9477" max="9477" width="13.28515625" style="1" bestFit="1" customWidth="1"/>
    <col min="9478" max="9478" width="15.42578125" style="1" customWidth="1"/>
    <col min="9479" max="9479" width="15.42578125" style="1" bestFit="1" customWidth="1"/>
    <col min="9480" max="9480" width="21.5703125" style="1" customWidth="1"/>
    <col min="9481" max="9481" width="9.140625" style="1"/>
    <col min="9482" max="9482" width="16.5703125" style="1" bestFit="1" customWidth="1"/>
    <col min="9483" max="9728" width="9.140625" style="1"/>
    <col min="9729" max="9729" width="6.140625" style="1" customWidth="1"/>
    <col min="9730" max="9730" width="10.5703125" style="1" customWidth="1"/>
    <col min="9731" max="9731" width="77.140625" style="1" customWidth="1"/>
    <col min="9732" max="9732" width="7.7109375" style="1" customWidth="1"/>
    <col min="9733" max="9733" width="13.28515625" style="1" bestFit="1" customWidth="1"/>
    <col min="9734" max="9734" width="15.42578125" style="1" customWidth="1"/>
    <col min="9735" max="9735" width="15.42578125" style="1" bestFit="1" customWidth="1"/>
    <col min="9736" max="9736" width="21.5703125" style="1" customWidth="1"/>
    <col min="9737" max="9737" width="9.140625" style="1"/>
    <col min="9738" max="9738" width="16.5703125" style="1" bestFit="1" customWidth="1"/>
    <col min="9739" max="9984" width="9.140625" style="1"/>
    <col min="9985" max="9985" width="6.140625" style="1" customWidth="1"/>
    <col min="9986" max="9986" width="10.5703125" style="1" customWidth="1"/>
    <col min="9987" max="9987" width="77.140625" style="1" customWidth="1"/>
    <col min="9988" max="9988" width="7.7109375" style="1" customWidth="1"/>
    <col min="9989" max="9989" width="13.28515625" style="1" bestFit="1" customWidth="1"/>
    <col min="9990" max="9990" width="15.42578125" style="1" customWidth="1"/>
    <col min="9991" max="9991" width="15.42578125" style="1" bestFit="1" customWidth="1"/>
    <col min="9992" max="9992" width="21.5703125" style="1" customWidth="1"/>
    <col min="9993" max="9993" width="9.140625" style="1"/>
    <col min="9994" max="9994" width="16.5703125" style="1" bestFit="1" customWidth="1"/>
    <col min="9995" max="10240" width="9.140625" style="1"/>
    <col min="10241" max="10241" width="6.140625" style="1" customWidth="1"/>
    <col min="10242" max="10242" width="10.5703125" style="1" customWidth="1"/>
    <col min="10243" max="10243" width="77.140625" style="1" customWidth="1"/>
    <col min="10244" max="10244" width="7.7109375" style="1" customWidth="1"/>
    <col min="10245" max="10245" width="13.28515625" style="1" bestFit="1" customWidth="1"/>
    <col min="10246" max="10246" width="15.42578125" style="1" customWidth="1"/>
    <col min="10247" max="10247" width="15.42578125" style="1" bestFit="1" customWidth="1"/>
    <col min="10248" max="10248" width="21.5703125" style="1" customWidth="1"/>
    <col min="10249" max="10249" width="9.140625" style="1"/>
    <col min="10250" max="10250" width="16.5703125" style="1" bestFit="1" customWidth="1"/>
    <col min="10251" max="10496" width="9.140625" style="1"/>
    <col min="10497" max="10497" width="6.140625" style="1" customWidth="1"/>
    <col min="10498" max="10498" width="10.5703125" style="1" customWidth="1"/>
    <col min="10499" max="10499" width="77.140625" style="1" customWidth="1"/>
    <col min="10500" max="10500" width="7.7109375" style="1" customWidth="1"/>
    <col min="10501" max="10501" width="13.28515625" style="1" bestFit="1" customWidth="1"/>
    <col min="10502" max="10502" width="15.42578125" style="1" customWidth="1"/>
    <col min="10503" max="10503" width="15.42578125" style="1" bestFit="1" customWidth="1"/>
    <col min="10504" max="10504" width="21.5703125" style="1" customWidth="1"/>
    <col min="10505" max="10505" width="9.140625" style="1"/>
    <col min="10506" max="10506" width="16.5703125" style="1" bestFit="1" customWidth="1"/>
    <col min="10507" max="10752" width="9.140625" style="1"/>
    <col min="10753" max="10753" width="6.140625" style="1" customWidth="1"/>
    <col min="10754" max="10754" width="10.5703125" style="1" customWidth="1"/>
    <col min="10755" max="10755" width="77.140625" style="1" customWidth="1"/>
    <col min="10756" max="10756" width="7.7109375" style="1" customWidth="1"/>
    <col min="10757" max="10757" width="13.28515625" style="1" bestFit="1" customWidth="1"/>
    <col min="10758" max="10758" width="15.42578125" style="1" customWidth="1"/>
    <col min="10759" max="10759" width="15.42578125" style="1" bestFit="1" customWidth="1"/>
    <col min="10760" max="10760" width="21.5703125" style="1" customWidth="1"/>
    <col min="10761" max="10761" width="9.140625" style="1"/>
    <col min="10762" max="10762" width="16.5703125" style="1" bestFit="1" customWidth="1"/>
    <col min="10763" max="11008" width="9.140625" style="1"/>
    <col min="11009" max="11009" width="6.140625" style="1" customWidth="1"/>
    <col min="11010" max="11010" width="10.5703125" style="1" customWidth="1"/>
    <col min="11011" max="11011" width="77.140625" style="1" customWidth="1"/>
    <col min="11012" max="11012" width="7.7109375" style="1" customWidth="1"/>
    <col min="11013" max="11013" width="13.28515625" style="1" bestFit="1" customWidth="1"/>
    <col min="11014" max="11014" width="15.42578125" style="1" customWidth="1"/>
    <col min="11015" max="11015" width="15.42578125" style="1" bestFit="1" customWidth="1"/>
    <col min="11016" max="11016" width="21.5703125" style="1" customWidth="1"/>
    <col min="11017" max="11017" width="9.140625" style="1"/>
    <col min="11018" max="11018" width="16.5703125" style="1" bestFit="1" customWidth="1"/>
    <col min="11019" max="11264" width="9.140625" style="1"/>
    <col min="11265" max="11265" width="6.140625" style="1" customWidth="1"/>
    <col min="11266" max="11266" width="10.5703125" style="1" customWidth="1"/>
    <col min="11267" max="11267" width="77.140625" style="1" customWidth="1"/>
    <col min="11268" max="11268" width="7.7109375" style="1" customWidth="1"/>
    <col min="11269" max="11269" width="13.28515625" style="1" bestFit="1" customWidth="1"/>
    <col min="11270" max="11270" width="15.42578125" style="1" customWidth="1"/>
    <col min="11271" max="11271" width="15.42578125" style="1" bestFit="1" customWidth="1"/>
    <col min="11272" max="11272" width="21.5703125" style="1" customWidth="1"/>
    <col min="11273" max="11273" width="9.140625" style="1"/>
    <col min="11274" max="11274" width="16.5703125" style="1" bestFit="1" customWidth="1"/>
    <col min="11275" max="11520" width="9.140625" style="1"/>
    <col min="11521" max="11521" width="6.140625" style="1" customWidth="1"/>
    <col min="11522" max="11522" width="10.5703125" style="1" customWidth="1"/>
    <col min="11523" max="11523" width="77.140625" style="1" customWidth="1"/>
    <col min="11524" max="11524" width="7.7109375" style="1" customWidth="1"/>
    <col min="11525" max="11525" width="13.28515625" style="1" bestFit="1" customWidth="1"/>
    <col min="11526" max="11526" width="15.42578125" style="1" customWidth="1"/>
    <col min="11527" max="11527" width="15.42578125" style="1" bestFit="1" customWidth="1"/>
    <col min="11528" max="11528" width="21.5703125" style="1" customWidth="1"/>
    <col min="11529" max="11529" width="9.140625" style="1"/>
    <col min="11530" max="11530" width="16.5703125" style="1" bestFit="1" customWidth="1"/>
    <col min="11531" max="11776" width="9.140625" style="1"/>
    <col min="11777" max="11777" width="6.140625" style="1" customWidth="1"/>
    <col min="11778" max="11778" width="10.5703125" style="1" customWidth="1"/>
    <col min="11779" max="11779" width="77.140625" style="1" customWidth="1"/>
    <col min="11780" max="11780" width="7.7109375" style="1" customWidth="1"/>
    <col min="11781" max="11781" width="13.28515625" style="1" bestFit="1" customWidth="1"/>
    <col min="11782" max="11782" width="15.42578125" style="1" customWidth="1"/>
    <col min="11783" max="11783" width="15.42578125" style="1" bestFit="1" customWidth="1"/>
    <col min="11784" max="11784" width="21.5703125" style="1" customWidth="1"/>
    <col min="11785" max="11785" width="9.140625" style="1"/>
    <col min="11786" max="11786" width="16.5703125" style="1" bestFit="1" customWidth="1"/>
    <col min="11787" max="12032" width="9.140625" style="1"/>
    <col min="12033" max="12033" width="6.140625" style="1" customWidth="1"/>
    <col min="12034" max="12034" width="10.5703125" style="1" customWidth="1"/>
    <col min="12035" max="12035" width="77.140625" style="1" customWidth="1"/>
    <col min="12036" max="12036" width="7.7109375" style="1" customWidth="1"/>
    <col min="12037" max="12037" width="13.28515625" style="1" bestFit="1" customWidth="1"/>
    <col min="12038" max="12038" width="15.42578125" style="1" customWidth="1"/>
    <col min="12039" max="12039" width="15.42578125" style="1" bestFit="1" customWidth="1"/>
    <col min="12040" max="12040" width="21.5703125" style="1" customWidth="1"/>
    <col min="12041" max="12041" width="9.140625" style="1"/>
    <col min="12042" max="12042" width="16.5703125" style="1" bestFit="1" customWidth="1"/>
    <col min="12043" max="12288" width="9.140625" style="1"/>
    <col min="12289" max="12289" width="6.140625" style="1" customWidth="1"/>
    <col min="12290" max="12290" width="10.5703125" style="1" customWidth="1"/>
    <col min="12291" max="12291" width="77.140625" style="1" customWidth="1"/>
    <col min="12292" max="12292" width="7.7109375" style="1" customWidth="1"/>
    <col min="12293" max="12293" width="13.28515625" style="1" bestFit="1" customWidth="1"/>
    <col min="12294" max="12294" width="15.42578125" style="1" customWidth="1"/>
    <col min="12295" max="12295" width="15.42578125" style="1" bestFit="1" customWidth="1"/>
    <col min="12296" max="12296" width="21.5703125" style="1" customWidth="1"/>
    <col min="12297" max="12297" width="9.140625" style="1"/>
    <col min="12298" max="12298" width="16.5703125" style="1" bestFit="1" customWidth="1"/>
    <col min="12299" max="12544" width="9.140625" style="1"/>
    <col min="12545" max="12545" width="6.140625" style="1" customWidth="1"/>
    <col min="12546" max="12546" width="10.5703125" style="1" customWidth="1"/>
    <col min="12547" max="12547" width="77.140625" style="1" customWidth="1"/>
    <col min="12548" max="12548" width="7.7109375" style="1" customWidth="1"/>
    <col min="12549" max="12549" width="13.28515625" style="1" bestFit="1" customWidth="1"/>
    <col min="12550" max="12550" width="15.42578125" style="1" customWidth="1"/>
    <col min="12551" max="12551" width="15.42578125" style="1" bestFit="1" customWidth="1"/>
    <col min="12552" max="12552" width="21.5703125" style="1" customWidth="1"/>
    <col min="12553" max="12553" width="9.140625" style="1"/>
    <col min="12554" max="12554" width="16.5703125" style="1" bestFit="1" customWidth="1"/>
    <col min="12555" max="12800" width="9.140625" style="1"/>
    <col min="12801" max="12801" width="6.140625" style="1" customWidth="1"/>
    <col min="12802" max="12802" width="10.5703125" style="1" customWidth="1"/>
    <col min="12803" max="12803" width="77.140625" style="1" customWidth="1"/>
    <col min="12804" max="12804" width="7.7109375" style="1" customWidth="1"/>
    <col min="12805" max="12805" width="13.28515625" style="1" bestFit="1" customWidth="1"/>
    <col min="12806" max="12806" width="15.42578125" style="1" customWidth="1"/>
    <col min="12807" max="12807" width="15.42578125" style="1" bestFit="1" customWidth="1"/>
    <col min="12808" max="12808" width="21.5703125" style="1" customWidth="1"/>
    <col min="12809" max="12809" width="9.140625" style="1"/>
    <col min="12810" max="12810" width="16.5703125" style="1" bestFit="1" customWidth="1"/>
    <col min="12811" max="13056" width="9.140625" style="1"/>
    <col min="13057" max="13057" width="6.140625" style="1" customWidth="1"/>
    <col min="13058" max="13058" width="10.5703125" style="1" customWidth="1"/>
    <col min="13059" max="13059" width="77.140625" style="1" customWidth="1"/>
    <col min="13060" max="13060" width="7.7109375" style="1" customWidth="1"/>
    <col min="13061" max="13061" width="13.28515625" style="1" bestFit="1" customWidth="1"/>
    <col min="13062" max="13062" width="15.42578125" style="1" customWidth="1"/>
    <col min="13063" max="13063" width="15.42578125" style="1" bestFit="1" customWidth="1"/>
    <col min="13064" max="13064" width="21.5703125" style="1" customWidth="1"/>
    <col min="13065" max="13065" width="9.140625" style="1"/>
    <col min="13066" max="13066" width="16.5703125" style="1" bestFit="1" customWidth="1"/>
    <col min="13067" max="13312" width="9.140625" style="1"/>
    <col min="13313" max="13313" width="6.140625" style="1" customWidth="1"/>
    <col min="13314" max="13314" width="10.5703125" style="1" customWidth="1"/>
    <col min="13315" max="13315" width="77.140625" style="1" customWidth="1"/>
    <col min="13316" max="13316" width="7.7109375" style="1" customWidth="1"/>
    <col min="13317" max="13317" width="13.28515625" style="1" bestFit="1" customWidth="1"/>
    <col min="13318" max="13318" width="15.42578125" style="1" customWidth="1"/>
    <col min="13319" max="13319" width="15.42578125" style="1" bestFit="1" customWidth="1"/>
    <col min="13320" max="13320" width="21.5703125" style="1" customWidth="1"/>
    <col min="13321" max="13321" width="9.140625" style="1"/>
    <col min="13322" max="13322" width="16.5703125" style="1" bestFit="1" customWidth="1"/>
    <col min="13323" max="13568" width="9.140625" style="1"/>
    <col min="13569" max="13569" width="6.140625" style="1" customWidth="1"/>
    <col min="13570" max="13570" width="10.5703125" style="1" customWidth="1"/>
    <col min="13571" max="13571" width="77.140625" style="1" customWidth="1"/>
    <col min="13572" max="13572" width="7.7109375" style="1" customWidth="1"/>
    <col min="13573" max="13573" width="13.28515625" style="1" bestFit="1" customWidth="1"/>
    <col min="13574" max="13574" width="15.42578125" style="1" customWidth="1"/>
    <col min="13575" max="13575" width="15.42578125" style="1" bestFit="1" customWidth="1"/>
    <col min="13576" max="13576" width="21.5703125" style="1" customWidth="1"/>
    <col min="13577" max="13577" width="9.140625" style="1"/>
    <col min="13578" max="13578" width="16.5703125" style="1" bestFit="1" customWidth="1"/>
    <col min="13579" max="13824" width="9.140625" style="1"/>
    <col min="13825" max="13825" width="6.140625" style="1" customWidth="1"/>
    <col min="13826" max="13826" width="10.5703125" style="1" customWidth="1"/>
    <col min="13827" max="13827" width="77.140625" style="1" customWidth="1"/>
    <col min="13828" max="13828" width="7.7109375" style="1" customWidth="1"/>
    <col min="13829" max="13829" width="13.28515625" style="1" bestFit="1" customWidth="1"/>
    <col min="13830" max="13830" width="15.42578125" style="1" customWidth="1"/>
    <col min="13831" max="13831" width="15.42578125" style="1" bestFit="1" customWidth="1"/>
    <col min="13832" max="13832" width="21.5703125" style="1" customWidth="1"/>
    <col min="13833" max="13833" width="9.140625" style="1"/>
    <col min="13834" max="13834" width="16.5703125" style="1" bestFit="1" customWidth="1"/>
    <col min="13835" max="14080" width="9.140625" style="1"/>
    <col min="14081" max="14081" width="6.140625" style="1" customWidth="1"/>
    <col min="14082" max="14082" width="10.5703125" style="1" customWidth="1"/>
    <col min="14083" max="14083" width="77.140625" style="1" customWidth="1"/>
    <col min="14084" max="14084" width="7.7109375" style="1" customWidth="1"/>
    <col min="14085" max="14085" width="13.28515625" style="1" bestFit="1" customWidth="1"/>
    <col min="14086" max="14086" width="15.42578125" style="1" customWidth="1"/>
    <col min="14087" max="14087" width="15.42578125" style="1" bestFit="1" customWidth="1"/>
    <col min="14088" max="14088" width="21.5703125" style="1" customWidth="1"/>
    <col min="14089" max="14089" width="9.140625" style="1"/>
    <col min="14090" max="14090" width="16.5703125" style="1" bestFit="1" customWidth="1"/>
    <col min="14091" max="14336" width="9.140625" style="1"/>
    <col min="14337" max="14337" width="6.140625" style="1" customWidth="1"/>
    <col min="14338" max="14338" width="10.5703125" style="1" customWidth="1"/>
    <col min="14339" max="14339" width="77.140625" style="1" customWidth="1"/>
    <col min="14340" max="14340" width="7.7109375" style="1" customWidth="1"/>
    <col min="14341" max="14341" width="13.28515625" style="1" bestFit="1" customWidth="1"/>
    <col min="14342" max="14342" width="15.42578125" style="1" customWidth="1"/>
    <col min="14343" max="14343" width="15.42578125" style="1" bestFit="1" customWidth="1"/>
    <col min="14344" max="14344" width="21.5703125" style="1" customWidth="1"/>
    <col min="14345" max="14345" width="9.140625" style="1"/>
    <col min="14346" max="14346" width="16.5703125" style="1" bestFit="1" customWidth="1"/>
    <col min="14347" max="14592" width="9.140625" style="1"/>
    <col min="14593" max="14593" width="6.140625" style="1" customWidth="1"/>
    <col min="14594" max="14594" width="10.5703125" style="1" customWidth="1"/>
    <col min="14595" max="14595" width="77.140625" style="1" customWidth="1"/>
    <col min="14596" max="14596" width="7.7109375" style="1" customWidth="1"/>
    <col min="14597" max="14597" width="13.28515625" style="1" bestFit="1" customWidth="1"/>
    <col min="14598" max="14598" width="15.42578125" style="1" customWidth="1"/>
    <col min="14599" max="14599" width="15.42578125" style="1" bestFit="1" customWidth="1"/>
    <col min="14600" max="14600" width="21.5703125" style="1" customWidth="1"/>
    <col min="14601" max="14601" width="9.140625" style="1"/>
    <col min="14602" max="14602" width="16.5703125" style="1" bestFit="1" customWidth="1"/>
    <col min="14603" max="14848" width="9.140625" style="1"/>
    <col min="14849" max="14849" width="6.140625" style="1" customWidth="1"/>
    <col min="14850" max="14850" width="10.5703125" style="1" customWidth="1"/>
    <col min="14851" max="14851" width="77.140625" style="1" customWidth="1"/>
    <col min="14852" max="14852" width="7.7109375" style="1" customWidth="1"/>
    <col min="14853" max="14853" width="13.28515625" style="1" bestFit="1" customWidth="1"/>
    <col min="14854" max="14854" width="15.42578125" style="1" customWidth="1"/>
    <col min="14855" max="14855" width="15.42578125" style="1" bestFit="1" customWidth="1"/>
    <col min="14856" max="14856" width="21.5703125" style="1" customWidth="1"/>
    <col min="14857" max="14857" width="9.140625" style="1"/>
    <col min="14858" max="14858" width="16.5703125" style="1" bestFit="1" customWidth="1"/>
    <col min="14859" max="15104" width="9.140625" style="1"/>
    <col min="15105" max="15105" width="6.140625" style="1" customWidth="1"/>
    <col min="15106" max="15106" width="10.5703125" style="1" customWidth="1"/>
    <col min="15107" max="15107" width="77.140625" style="1" customWidth="1"/>
    <col min="15108" max="15108" width="7.7109375" style="1" customWidth="1"/>
    <col min="15109" max="15109" width="13.28515625" style="1" bestFit="1" customWidth="1"/>
    <col min="15110" max="15110" width="15.42578125" style="1" customWidth="1"/>
    <col min="15111" max="15111" width="15.42578125" style="1" bestFit="1" customWidth="1"/>
    <col min="15112" max="15112" width="21.5703125" style="1" customWidth="1"/>
    <col min="15113" max="15113" width="9.140625" style="1"/>
    <col min="15114" max="15114" width="16.5703125" style="1" bestFit="1" customWidth="1"/>
    <col min="15115" max="15360" width="9.140625" style="1"/>
    <col min="15361" max="15361" width="6.140625" style="1" customWidth="1"/>
    <col min="15362" max="15362" width="10.5703125" style="1" customWidth="1"/>
    <col min="15363" max="15363" width="77.140625" style="1" customWidth="1"/>
    <col min="15364" max="15364" width="7.7109375" style="1" customWidth="1"/>
    <col min="15365" max="15365" width="13.28515625" style="1" bestFit="1" customWidth="1"/>
    <col min="15366" max="15366" width="15.42578125" style="1" customWidth="1"/>
    <col min="15367" max="15367" width="15.42578125" style="1" bestFit="1" customWidth="1"/>
    <col min="15368" max="15368" width="21.5703125" style="1" customWidth="1"/>
    <col min="15369" max="15369" width="9.140625" style="1"/>
    <col min="15370" max="15370" width="16.5703125" style="1" bestFit="1" customWidth="1"/>
    <col min="15371" max="15616" width="9.140625" style="1"/>
    <col min="15617" max="15617" width="6.140625" style="1" customWidth="1"/>
    <col min="15618" max="15618" width="10.5703125" style="1" customWidth="1"/>
    <col min="15619" max="15619" width="77.140625" style="1" customWidth="1"/>
    <col min="15620" max="15620" width="7.7109375" style="1" customWidth="1"/>
    <col min="15621" max="15621" width="13.28515625" style="1" bestFit="1" customWidth="1"/>
    <col min="15622" max="15622" width="15.42578125" style="1" customWidth="1"/>
    <col min="15623" max="15623" width="15.42578125" style="1" bestFit="1" customWidth="1"/>
    <col min="15624" max="15624" width="21.5703125" style="1" customWidth="1"/>
    <col min="15625" max="15625" width="9.140625" style="1"/>
    <col min="15626" max="15626" width="16.5703125" style="1" bestFit="1" customWidth="1"/>
    <col min="15627" max="15872" width="9.140625" style="1"/>
    <col min="15873" max="15873" width="6.140625" style="1" customWidth="1"/>
    <col min="15874" max="15874" width="10.5703125" style="1" customWidth="1"/>
    <col min="15875" max="15875" width="77.140625" style="1" customWidth="1"/>
    <col min="15876" max="15876" width="7.7109375" style="1" customWidth="1"/>
    <col min="15877" max="15877" width="13.28515625" style="1" bestFit="1" customWidth="1"/>
    <col min="15878" max="15878" width="15.42578125" style="1" customWidth="1"/>
    <col min="15879" max="15879" width="15.42578125" style="1" bestFit="1" customWidth="1"/>
    <col min="15880" max="15880" width="21.5703125" style="1" customWidth="1"/>
    <col min="15881" max="15881" width="9.140625" style="1"/>
    <col min="15882" max="15882" width="16.5703125" style="1" bestFit="1" customWidth="1"/>
    <col min="15883" max="16128" width="9.140625" style="1"/>
    <col min="16129" max="16129" width="6.140625" style="1" customWidth="1"/>
    <col min="16130" max="16130" width="10.5703125" style="1" customWidth="1"/>
    <col min="16131" max="16131" width="77.140625" style="1" customWidth="1"/>
    <col min="16132" max="16132" width="7.7109375" style="1" customWidth="1"/>
    <col min="16133" max="16133" width="13.28515625" style="1" bestFit="1" customWidth="1"/>
    <col min="16134" max="16134" width="15.42578125" style="1" customWidth="1"/>
    <col min="16135" max="16135" width="15.42578125" style="1" bestFit="1" customWidth="1"/>
    <col min="16136" max="16136" width="21.5703125" style="1" customWidth="1"/>
    <col min="16137" max="16137" width="9.140625" style="1"/>
    <col min="16138" max="16138" width="16.5703125" style="1" bestFit="1" customWidth="1"/>
    <col min="16139" max="16384" width="9.140625" style="1"/>
  </cols>
  <sheetData>
    <row r="1" spans="1:9" ht="18" x14ac:dyDescent="0.25">
      <c r="A1" s="170"/>
      <c r="B1" s="171"/>
      <c r="C1" s="172" t="s">
        <v>20</v>
      </c>
      <c r="D1" s="173"/>
      <c r="E1" s="293"/>
      <c r="F1" s="265"/>
      <c r="G1" s="265"/>
      <c r="H1" s="266"/>
    </row>
    <row r="2" spans="1:9" x14ac:dyDescent="0.2">
      <c r="A2" s="174"/>
      <c r="B2" s="175"/>
      <c r="C2" s="176" t="s">
        <v>19</v>
      </c>
      <c r="D2" s="177"/>
      <c r="E2" s="294"/>
      <c r="F2" s="267"/>
      <c r="G2" s="267"/>
      <c r="H2" s="268"/>
    </row>
    <row r="3" spans="1:9" x14ac:dyDescent="0.2">
      <c r="A3" s="178"/>
      <c r="B3" s="28"/>
      <c r="C3" s="28"/>
      <c r="D3" s="177"/>
      <c r="E3" s="294"/>
      <c r="F3" s="267"/>
      <c r="G3" s="267"/>
      <c r="H3" s="268"/>
    </row>
    <row r="4" spans="1:9" x14ac:dyDescent="0.2">
      <c r="A4" s="178"/>
      <c r="B4" s="28"/>
      <c r="C4" s="85"/>
      <c r="D4" s="177"/>
      <c r="E4" s="294"/>
      <c r="F4" s="267"/>
      <c r="G4" s="267"/>
      <c r="H4" s="268"/>
    </row>
    <row r="5" spans="1:9" ht="20.100000000000001" customHeight="1" x14ac:dyDescent="0.2">
      <c r="A5" s="179" t="s">
        <v>14</v>
      </c>
      <c r="B5" s="180"/>
      <c r="C5" s="85"/>
      <c r="D5" s="177"/>
      <c r="E5" s="294"/>
      <c r="F5" s="267"/>
      <c r="G5" s="267"/>
      <c r="H5" s="268"/>
    </row>
    <row r="6" spans="1:9" ht="20.100000000000001" customHeight="1" x14ac:dyDescent="0.2">
      <c r="A6" s="181" t="s">
        <v>18</v>
      </c>
      <c r="B6" s="12"/>
      <c r="C6" s="85"/>
      <c r="D6" s="177"/>
      <c r="E6" s="294"/>
      <c r="F6" s="267"/>
      <c r="G6" s="267" t="s">
        <v>381</v>
      </c>
      <c r="H6" s="304">
        <v>44652</v>
      </c>
    </row>
    <row r="7" spans="1:9" ht="20.100000000000001" customHeight="1" x14ac:dyDescent="0.2">
      <c r="A7" s="182" t="s">
        <v>193</v>
      </c>
      <c r="B7" s="12"/>
      <c r="C7" s="13"/>
      <c r="D7" s="14"/>
      <c r="E7" s="287"/>
      <c r="F7" s="269"/>
      <c r="G7" s="270" t="s">
        <v>22</v>
      </c>
      <c r="H7" s="301">
        <f>BDI!N26</f>
        <v>0.2218</v>
      </c>
    </row>
    <row r="8" spans="1:9" ht="9.9499999999999993" customHeight="1" thickBot="1" x14ac:dyDescent="0.25">
      <c r="A8" s="179"/>
      <c r="B8" s="180"/>
      <c r="C8" s="15"/>
      <c r="D8" s="29"/>
      <c r="E8" s="295"/>
      <c r="F8" s="270"/>
      <c r="G8" s="270"/>
      <c r="H8" s="271"/>
    </row>
    <row r="9" spans="1:9" ht="20.100000000000001" customHeight="1" x14ac:dyDescent="0.2">
      <c r="A9" s="16" t="s">
        <v>0</v>
      </c>
      <c r="B9" s="17" t="s">
        <v>382</v>
      </c>
      <c r="C9" s="18" t="s">
        <v>1</v>
      </c>
      <c r="D9" s="80" t="s">
        <v>2</v>
      </c>
      <c r="E9" s="296" t="s">
        <v>3</v>
      </c>
      <c r="F9" s="326" t="s">
        <v>4</v>
      </c>
      <c r="G9" s="326"/>
      <c r="H9" s="302" t="s">
        <v>5</v>
      </c>
    </row>
    <row r="10" spans="1:9" ht="20.100000000000001" customHeight="1" x14ac:dyDescent="0.2">
      <c r="A10" s="19" t="s">
        <v>29</v>
      </c>
      <c r="B10" s="20"/>
      <c r="C10" s="21" t="s">
        <v>26</v>
      </c>
      <c r="D10" s="21"/>
      <c r="E10" s="297"/>
      <c r="F10" s="263" t="s">
        <v>6</v>
      </c>
      <c r="G10" s="263" t="s">
        <v>7</v>
      </c>
      <c r="H10" s="264" t="s">
        <v>7</v>
      </c>
    </row>
    <row r="11" spans="1:9" ht="20.100000000000001" customHeight="1" x14ac:dyDescent="0.2">
      <c r="A11" s="24" t="s">
        <v>8</v>
      </c>
      <c r="B11" s="4" t="s">
        <v>316</v>
      </c>
      <c r="C11" s="5" t="s">
        <v>25</v>
      </c>
      <c r="D11" s="4" t="s">
        <v>424</v>
      </c>
      <c r="E11" s="288">
        <v>2</v>
      </c>
      <c r="F11" s="273">
        <f>'Composições '!G85</f>
        <v>4793.25</v>
      </c>
      <c r="G11" s="274">
        <f>ROUND((F11*(1+$H$7)),2)</f>
        <v>5856.39</v>
      </c>
      <c r="H11" s="275">
        <f>ROUND((E11*G11),2)</f>
        <v>11712.78</v>
      </c>
    </row>
    <row r="12" spans="1:9" ht="20.100000000000001" customHeight="1" x14ac:dyDescent="0.2">
      <c r="A12" s="24" t="s">
        <v>10</v>
      </c>
      <c r="B12" s="4" t="s">
        <v>317</v>
      </c>
      <c r="C12" s="5" t="s">
        <v>330</v>
      </c>
      <c r="D12" s="4" t="s">
        <v>9</v>
      </c>
      <c r="E12" s="288">
        <v>2.88</v>
      </c>
      <c r="F12" s="273">
        <f>'Composições '!G96</f>
        <v>321.07329999999996</v>
      </c>
      <c r="G12" s="274">
        <f t="shared" ref="G12:G14" si="0">ROUND((F12*(1+$H$7)),2)</f>
        <v>392.29</v>
      </c>
      <c r="H12" s="275">
        <f t="shared" ref="H12:H13" si="1">ROUND((E12*G12),2)</f>
        <v>1129.8</v>
      </c>
    </row>
    <row r="13" spans="1:9" ht="20.100000000000001" customHeight="1" x14ac:dyDescent="0.2">
      <c r="A13" s="24" t="s">
        <v>12</v>
      </c>
      <c r="B13" s="4" t="s">
        <v>351</v>
      </c>
      <c r="C13" s="262" t="s">
        <v>331</v>
      </c>
      <c r="D13" s="4" t="s">
        <v>9</v>
      </c>
      <c r="E13" s="288">
        <v>31100</v>
      </c>
      <c r="F13" s="273">
        <f>'Composições '!G110</f>
        <v>1.0426879</v>
      </c>
      <c r="G13" s="274">
        <f t="shared" si="0"/>
        <v>1.27</v>
      </c>
      <c r="H13" s="275">
        <f t="shared" si="1"/>
        <v>39497</v>
      </c>
    </row>
    <row r="14" spans="1:9" ht="20.100000000000001" customHeight="1" x14ac:dyDescent="0.2">
      <c r="A14" s="24" t="s">
        <v>168</v>
      </c>
      <c r="B14" s="4" t="s">
        <v>352</v>
      </c>
      <c r="C14" s="5" t="s">
        <v>340</v>
      </c>
      <c r="D14" s="4" t="s">
        <v>162</v>
      </c>
      <c r="E14" s="288">
        <v>100</v>
      </c>
      <c r="F14" s="273">
        <f>'Composições '!G124</f>
        <v>103832.45999999998</v>
      </c>
      <c r="G14" s="274">
        <f t="shared" si="0"/>
        <v>126862.5</v>
      </c>
      <c r="H14" s="275">
        <f>G14</f>
        <v>126862.5</v>
      </c>
      <c r="I14" s="256"/>
    </row>
    <row r="15" spans="1:9" ht="20.100000000000001" customHeight="1" x14ac:dyDescent="0.2">
      <c r="A15" s="320" t="s">
        <v>426</v>
      </c>
      <c r="B15" s="321"/>
      <c r="C15" s="321"/>
      <c r="D15" s="321"/>
      <c r="E15" s="321"/>
      <c r="F15" s="321"/>
      <c r="G15" s="322"/>
      <c r="H15" s="276">
        <f>SUM(H11:H14)</f>
        <v>179202.08000000002</v>
      </c>
    </row>
    <row r="16" spans="1:9" ht="20.100000000000001" customHeight="1" x14ac:dyDescent="0.2">
      <c r="A16" s="30" t="s">
        <v>31</v>
      </c>
      <c r="B16" s="31"/>
      <c r="C16" s="32" t="s">
        <v>30</v>
      </c>
      <c r="D16" s="27"/>
      <c r="E16" s="289"/>
      <c r="F16" s="277"/>
      <c r="G16" s="278"/>
      <c r="H16" s="275"/>
    </row>
    <row r="17" spans="1:8" ht="20.100000000000001" customHeight="1" x14ac:dyDescent="0.2">
      <c r="A17" s="24" t="s">
        <v>32</v>
      </c>
      <c r="B17" s="4">
        <v>90099</v>
      </c>
      <c r="C17" s="26" t="s">
        <v>356</v>
      </c>
      <c r="D17" s="27" t="s">
        <v>11</v>
      </c>
      <c r="E17" s="289">
        <f>(E20+E19)*1.5</f>
        <v>255</v>
      </c>
      <c r="F17" s="277">
        <v>15.63</v>
      </c>
      <c r="G17" s="274">
        <f t="shared" ref="G17:G25" si="2">ROUND((F17*(1+$H$7)),2)</f>
        <v>19.100000000000001</v>
      </c>
      <c r="H17" s="275">
        <f t="shared" ref="H17" si="3">ROUND((E17*G17),2)</f>
        <v>4870.5</v>
      </c>
    </row>
    <row r="18" spans="1:8" ht="20.100000000000001" customHeight="1" x14ac:dyDescent="0.2">
      <c r="A18" s="24" t="s">
        <v>33</v>
      </c>
      <c r="B18" s="27">
        <v>101616</v>
      </c>
      <c r="C18" s="26" t="s">
        <v>385</v>
      </c>
      <c r="D18" s="27" t="s">
        <v>9</v>
      </c>
      <c r="E18" s="289">
        <f>E19+E20</f>
        <v>170</v>
      </c>
      <c r="F18" s="277">
        <v>5.41</v>
      </c>
      <c r="G18" s="274">
        <f t="shared" si="2"/>
        <v>6.61</v>
      </c>
      <c r="H18" s="275">
        <f t="shared" ref="H18" si="4">ROUND((E18*G18),2)</f>
        <v>1123.7</v>
      </c>
    </row>
    <row r="19" spans="1:8" ht="20.100000000000001" customHeight="1" x14ac:dyDescent="0.2">
      <c r="A19" s="24" t="s">
        <v>38</v>
      </c>
      <c r="B19" s="27">
        <v>37451</v>
      </c>
      <c r="C19" s="26" t="s">
        <v>358</v>
      </c>
      <c r="D19" s="27" t="s">
        <v>37</v>
      </c>
      <c r="E19" s="289">
        <v>70</v>
      </c>
      <c r="F19" s="277">
        <v>53.72</v>
      </c>
      <c r="G19" s="274">
        <f t="shared" si="2"/>
        <v>65.64</v>
      </c>
      <c r="H19" s="275">
        <f t="shared" ref="H19:H25" si="5">ROUND((E19*G19),2)</f>
        <v>4594.8</v>
      </c>
    </row>
    <row r="20" spans="1:8" ht="20.100000000000001" customHeight="1" x14ac:dyDescent="0.2">
      <c r="A20" s="24" t="s">
        <v>39</v>
      </c>
      <c r="B20" s="27">
        <v>37453</v>
      </c>
      <c r="C20" s="26" t="s">
        <v>359</v>
      </c>
      <c r="D20" s="27" t="s">
        <v>37</v>
      </c>
      <c r="E20" s="289">
        <v>100</v>
      </c>
      <c r="F20" s="277">
        <v>89.92</v>
      </c>
      <c r="G20" s="274">
        <f t="shared" si="2"/>
        <v>109.86</v>
      </c>
      <c r="H20" s="275">
        <f t="shared" si="5"/>
        <v>10986</v>
      </c>
    </row>
    <row r="21" spans="1:8" ht="20.100000000000001" customHeight="1" x14ac:dyDescent="0.2">
      <c r="A21" s="24" t="s">
        <v>40</v>
      </c>
      <c r="B21" s="27">
        <v>92809</v>
      </c>
      <c r="C21" s="26" t="s">
        <v>383</v>
      </c>
      <c r="D21" s="27" t="s">
        <v>37</v>
      </c>
      <c r="E21" s="289">
        <v>70</v>
      </c>
      <c r="F21" s="277">
        <v>53.8</v>
      </c>
      <c r="G21" s="274">
        <f t="shared" si="2"/>
        <v>65.73</v>
      </c>
      <c r="H21" s="275">
        <f t="shared" si="5"/>
        <v>4601.1000000000004</v>
      </c>
    </row>
    <row r="22" spans="1:8" ht="20.100000000000001" customHeight="1" x14ac:dyDescent="0.2">
      <c r="A22" s="24" t="s">
        <v>198</v>
      </c>
      <c r="B22" s="27">
        <v>92811</v>
      </c>
      <c r="C22" s="26" t="s">
        <v>361</v>
      </c>
      <c r="D22" s="27" t="s">
        <v>37</v>
      </c>
      <c r="E22" s="289">
        <f>E20</f>
        <v>100</v>
      </c>
      <c r="F22" s="277">
        <v>77.92</v>
      </c>
      <c r="G22" s="274">
        <f t="shared" si="2"/>
        <v>95.2</v>
      </c>
      <c r="H22" s="275">
        <f t="shared" si="5"/>
        <v>9520</v>
      </c>
    </row>
    <row r="23" spans="1:8" ht="20.100000000000001" customHeight="1" x14ac:dyDescent="0.2">
      <c r="A23" s="24" t="s">
        <v>199</v>
      </c>
      <c r="B23" s="27">
        <v>93367</v>
      </c>
      <c r="C23" s="26" t="s">
        <v>357</v>
      </c>
      <c r="D23" s="27" t="s">
        <v>11</v>
      </c>
      <c r="E23" s="289">
        <f>E17-(E20*0.3*0.3*3.14)-(E21*0.2*0.2*3.14)</f>
        <v>217.94800000000001</v>
      </c>
      <c r="F23" s="277">
        <v>21.71</v>
      </c>
      <c r="G23" s="274">
        <f t="shared" si="2"/>
        <v>26.53</v>
      </c>
      <c r="H23" s="275">
        <f t="shared" si="5"/>
        <v>5782.16</v>
      </c>
    </row>
    <row r="24" spans="1:8" ht="20.100000000000001" customHeight="1" x14ac:dyDescent="0.2">
      <c r="A24" s="24" t="s">
        <v>200</v>
      </c>
      <c r="B24" s="27">
        <v>102737</v>
      </c>
      <c r="C24" s="26" t="s">
        <v>384</v>
      </c>
      <c r="D24" s="27" t="s">
        <v>34</v>
      </c>
      <c r="E24" s="289">
        <v>14</v>
      </c>
      <c r="F24" s="277">
        <v>1098.3499999999999</v>
      </c>
      <c r="G24" s="274">
        <f t="shared" si="2"/>
        <v>1341.96</v>
      </c>
      <c r="H24" s="275">
        <f t="shared" si="5"/>
        <v>18787.439999999999</v>
      </c>
    </row>
    <row r="25" spans="1:8" ht="20.100000000000001" customHeight="1" x14ac:dyDescent="0.2">
      <c r="A25" s="24" t="s">
        <v>386</v>
      </c>
      <c r="B25" s="27">
        <v>102738</v>
      </c>
      <c r="C25" s="26" t="s">
        <v>360</v>
      </c>
      <c r="D25" s="27" t="s">
        <v>34</v>
      </c>
      <c r="E25" s="289">
        <v>10</v>
      </c>
      <c r="F25" s="277">
        <v>2255.02</v>
      </c>
      <c r="G25" s="274">
        <f t="shared" si="2"/>
        <v>2755.18</v>
      </c>
      <c r="H25" s="275">
        <f t="shared" si="5"/>
        <v>27551.8</v>
      </c>
    </row>
    <row r="26" spans="1:8" ht="20.100000000000001" customHeight="1" x14ac:dyDescent="0.2">
      <c r="A26" s="320" t="s">
        <v>427</v>
      </c>
      <c r="B26" s="321"/>
      <c r="C26" s="321"/>
      <c r="D26" s="321"/>
      <c r="E26" s="321"/>
      <c r="F26" s="321"/>
      <c r="G26" s="322"/>
      <c r="H26" s="276">
        <f>SUM(H17:H25)</f>
        <v>87817.5</v>
      </c>
    </row>
    <row r="27" spans="1:8" ht="20.100000000000001" customHeight="1" x14ac:dyDescent="0.2">
      <c r="A27" s="30" t="s">
        <v>36</v>
      </c>
      <c r="B27" s="31"/>
      <c r="C27" s="32" t="s">
        <v>369</v>
      </c>
      <c r="D27" s="27"/>
      <c r="E27" s="289"/>
      <c r="F27" s="277"/>
      <c r="G27" s="278"/>
      <c r="H27" s="275"/>
    </row>
    <row r="28" spans="1:8" ht="20.100000000000001" customHeight="1" x14ac:dyDescent="0.2">
      <c r="A28" s="30" t="s">
        <v>42</v>
      </c>
      <c r="B28" s="31"/>
      <c r="C28" s="32" t="s">
        <v>365</v>
      </c>
      <c r="D28" s="27"/>
      <c r="E28" s="289"/>
      <c r="F28" s="277"/>
      <c r="G28" s="278"/>
      <c r="H28" s="275"/>
    </row>
    <row r="29" spans="1:8" ht="20.100000000000001" customHeight="1" x14ac:dyDescent="0.2">
      <c r="A29" s="24" t="s">
        <v>363</v>
      </c>
      <c r="B29" s="4">
        <v>98525</v>
      </c>
      <c r="C29" s="5" t="s">
        <v>206</v>
      </c>
      <c r="D29" s="4" t="s">
        <v>9</v>
      </c>
      <c r="E29" s="288">
        <v>31100</v>
      </c>
      <c r="F29" s="273">
        <v>0.38</v>
      </c>
      <c r="G29" s="274">
        <f t="shared" ref="G29:G34" si="6">ROUND((F29*(1+$H$7)),2)</f>
        <v>0.46</v>
      </c>
      <c r="H29" s="275">
        <f t="shared" ref="H29:H34" si="7">ROUND((E29*G29),2)</f>
        <v>14306</v>
      </c>
    </row>
    <row r="30" spans="1:8" ht="20.100000000000001" customHeight="1" x14ac:dyDescent="0.2">
      <c r="A30" s="24" t="s">
        <v>364</v>
      </c>
      <c r="B30" s="4">
        <v>100938</v>
      </c>
      <c r="C30" s="5" t="s">
        <v>387</v>
      </c>
      <c r="D30" s="4" t="s">
        <v>11</v>
      </c>
      <c r="E30" s="290">
        <f>E29*0.1*1.3</f>
        <v>4043</v>
      </c>
      <c r="F30" s="277">
        <v>6.84</v>
      </c>
      <c r="G30" s="274">
        <f t="shared" si="6"/>
        <v>8.36</v>
      </c>
      <c r="H30" s="275">
        <f t="shared" ref="H30" si="8">ROUND((E30*G30),2)</f>
        <v>33799.480000000003</v>
      </c>
    </row>
    <row r="31" spans="1:8" ht="20.100000000000001" customHeight="1" x14ac:dyDescent="0.2">
      <c r="A31" s="30" t="s">
        <v>43</v>
      </c>
      <c r="B31" s="4"/>
      <c r="C31" s="303" t="s">
        <v>35</v>
      </c>
      <c r="D31" s="4"/>
      <c r="E31" s="290"/>
      <c r="F31" s="277"/>
      <c r="G31" s="274"/>
      <c r="H31" s="275"/>
    </row>
    <row r="32" spans="1:8" ht="20.100000000000001" customHeight="1" x14ac:dyDescent="0.2">
      <c r="A32" s="24" t="s">
        <v>366</v>
      </c>
      <c r="B32" s="4">
        <v>101127</v>
      </c>
      <c r="C32" s="5" t="s">
        <v>194</v>
      </c>
      <c r="D32" s="4" t="s">
        <v>11</v>
      </c>
      <c r="E32" s="290">
        <f>3110*8*0.5</f>
        <v>12440</v>
      </c>
      <c r="F32" s="279">
        <v>13.17</v>
      </c>
      <c r="G32" s="274">
        <f t="shared" si="6"/>
        <v>16.09</v>
      </c>
      <c r="H32" s="275">
        <f t="shared" si="7"/>
        <v>200159.6</v>
      </c>
    </row>
    <row r="33" spans="1:8" ht="20.100000000000001" customHeight="1" x14ac:dyDescent="0.2">
      <c r="A33" s="24" t="s">
        <v>367</v>
      </c>
      <c r="B33" s="4">
        <v>100938</v>
      </c>
      <c r="C33" s="5" t="s">
        <v>362</v>
      </c>
      <c r="D33" s="4" t="s">
        <v>11</v>
      </c>
      <c r="E33" s="290">
        <f>E32*1.3</f>
        <v>16172</v>
      </c>
      <c r="F33" s="279">
        <v>6.84</v>
      </c>
      <c r="G33" s="274">
        <f t="shared" si="6"/>
        <v>8.36</v>
      </c>
      <c r="H33" s="275">
        <f t="shared" si="7"/>
        <v>135197.92000000001</v>
      </c>
    </row>
    <row r="34" spans="1:8" ht="20.100000000000001" customHeight="1" x14ac:dyDescent="0.2">
      <c r="A34" s="24" t="s">
        <v>368</v>
      </c>
      <c r="B34" s="4">
        <v>96385</v>
      </c>
      <c r="C34" s="5" t="s">
        <v>370</v>
      </c>
      <c r="D34" s="4" t="s">
        <v>11</v>
      </c>
      <c r="E34" s="290">
        <f>E32*0.7</f>
        <v>8708</v>
      </c>
      <c r="F34" s="279">
        <v>10.52</v>
      </c>
      <c r="G34" s="274">
        <f t="shared" si="6"/>
        <v>12.85</v>
      </c>
      <c r="H34" s="275">
        <f t="shared" si="7"/>
        <v>111897.8</v>
      </c>
    </row>
    <row r="35" spans="1:8" ht="20.100000000000001" customHeight="1" x14ac:dyDescent="0.2">
      <c r="A35" s="320" t="s">
        <v>428</v>
      </c>
      <c r="B35" s="321"/>
      <c r="C35" s="321"/>
      <c r="D35" s="321"/>
      <c r="E35" s="321"/>
      <c r="F35" s="321"/>
      <c r="G35" s="322"/>
      <c r="H35" s="276">
        <f>SUM(H29:H34)</f>
        <v>495360.8</v>
      </c>
    </row>
    <row r="36" spans="1:8" ht="20.100000000000001" customHeight="1" x14ac:dyDescent="0.2">
      <c r="A36" s="30" t="s">
        <v>41</v>
      </c>
      <c r="B36" s="31"/>
      <c r="C36" s="32" t="s">
        <v>68</v>
      </c>
      <c r="D36" s="27"/>
      <c r="E36" s="289"/>
      <c r="F36" s="277"/>
      <c r="G36" s="278"/>
      <c r="H36" s="275"/>
    </row>
    <row r="37" spans="1:8" ht="20.100000000000001" customHeight="1" x14ac:dyDescent="0.2">
      <c r="A37" s="24" t="s">
        <v>44</v>
      </c>
      <c r="B37" s="4">
        <v>100576</v>
      </c>
      <c r="C37" s="5" t="s">
        <v>207</v>
      </c>
      <c r="D37" s="4" t="s">
        <v>9</v>
      </c>
      <c r="E37" s="290">
        <f>E29</f>
        <v>31100</v>
      </c>
      <c r="F37" s="279">
        <v>2.25</v>
      </c>
      <c r="G37" s="274">
        <f t="shared" ref="G37:G45" si="9">ROUND((F37*(1+$H$7)),2)</f>
        <v>2.75</v>
      </c>
      <c r="H37" s="275">
        <f t="shared" ref="H37:H45" si="10">ROUND((E37*G37),2)</f>
        <v>85525</v>
      </c>
    </row>
    <row r="38" spans="1:8" ht="20.100000000000001" customHeight="1" x14ac:dyDescent="0.2">
      <c r="A38" s="24" t="s">
        <v>45</v>
      </c>
      <c r="B38" s="4">
        <v>96400</v>
      </c>
      <c r="C38" s="5" t="s">
        <v>195</v>
      </c>
      <c r="D38" s="4" t="s">
        <v>11</v>
      </c>
      <c r="E38" s="290">
        <f>E41*0.2</f>
        <v>4665</v>
      </c>
      <c r="F38" s="279">
        <v>102.55</v>
      </c>
      <c r="G38" s="274">
        <f t="shared" si="9"/>
        <v>125.3</v>
      </c>
      <c r="H38" s="275">
        <f t="shared" si="10"/>
        <v>584524.5</v>
      </c>
    </row>
    <row r="39" spans="1:8" ht="20.100000000000001" customHeight="1" x14ac:dyDescent="0.2">
      <c r="A39" s="24" t="s">
        <v>46</v>
      </c>
      <c r="B39" s="22" t="s">
        <v>15</v>
      </c>
      <c r="C39" s="6" t="s">
        <v>372</v>
      </c>
      <c r="D39" s="7" t="s">
        <v>11</v>
      </c>
      <c r="E39" s="290">
        <f>E41*0.15</f>
        <v>3498.75</v>
      </c>
      <c r="F39" s="279">
        <v>112.5</v>
      </c>
      <c r="G39" s="274">
        <f t="shared" si="9"/>
        <v>137.44999999999999</v>
      </c>
      <c r="H39" s="275">
        <f t="shared" si="10"/>
        <v>480903.19</v>
      </c>
    </row>
    <row r="40" spans="1:8" ht="20.100000000000001" customHeight="1" x14ac:dyDescent="0.2">
      <c r="A40" s="24" t="s">
        <v>47</v>
      </c>
      <c r="B40" s="23" t="s">
        <v>16</v>
      </c>
      <c r="C40" s="5" t="s">
        <v>23</v>
      </c>
      <c r="D40" s="4" t="s">
        <v>17</v>
      </c>
      <c r="E40" s="291">
        <f>(E38+E39)*40</f>
        <v>326550</v>
      </c>
      <c r="F40" s="279">
        <v>0.89</v>
      </c>
      <c r="G40" s="274">
        <f t="shared" si="9"/>
        <v>1.0900000000000001</v>
      </c>
      <c r="H40" s="275">
        <f t="shared" si="10"/>
        <v>355939.5</v>
      </c>
    </row>
    <row r="41" spans="1:8" ht="20.100000000000001" customHeight="1" x14ac:dyDescent="0.2">
      <c r="A41" s="24" t="s">
        <v>48</v>
      </c>
      <c r="B41" s="25" t="s">
        <v>353</v>
      </c>
      <c r="C41" s="26" t="s">
        <v>375</v>
      </c>
      <c r="D41" s="27" t="s">
        <v>9</v>
      </c>
      <c r="E41" s="290">
        <f>3110*7.5</f>
        <v>23325</v>
      </c>
      <c r="F41" s="279">
        <f>'Composições '!G69</f>
        <v>7.7677958998900234</v>
      </c>
      <c r="G41" s="274">
        <f t="shared" si="9"/>
        <v>9.49</v>
      </c>
      <c r="H41" s="275">
        <f t="shared" si="10"/>
        <v>221354.25</v>
      </c>
    </row>
    <row r="42" spans="1:8" ht="20.100000000000001" customHeight="1" x14ac:dyDescent="0.2">
      <c r="A42" s="24" t="s">
        <v>49</v>
      </c>
      <c r="B42" s="8">
        <v>96402</v>
      </c>
      <c r="C42" s="5" t="s">
        <v>371</v>
      </c>
      <c r="D42" s="4" t="s">
        <v>9</v>
      </c>
      <c r="E42" s="288">
        <v>20053</v>
      </c>
      <c r="F42" s="280">
        <v>2.76</v>
      </c>
      <c r="G42" s="274">
        <f t="shared" si="9"/>
        <v>3.37</v>
      </c>
      <c r="H42" s="275">
        <f t="shared" si="10"/>
        <v>67578.61</v>
      </c>
    </row>
    <row r="43" spans="1:8" ht="20.100000000000001" customHeight="1" x14ac:dyDescent="0.2">
      <c r="A43" s="24" t="s">
        <v>50</v>
      </c>
      <c r="B43" s="8" t="s">
        <v>354</v>
      </c>
      <c r="C43" s="9" t="s">
        <v>373</v>
      </c>
      <c r="D43" s="4" t="s">
        <v>11</v>
      </c>
      <c r="E43" s="292">
        <f>E42*0.03</f>
        <v>601.59</v>
      </c>
      <c r="F43" s="280">
        <f>'Composições '!G44</f>
        <v>1396.71480828628</v>
      </c>
      <c r="G43" s="274">
        <f t="shared" si="9"/>
        <v>1706.51</v>
      </c>
      <c r="H43" s="275">
        <f t="shared" si="10"/>
        <v>1026619.35</v>
      </c>
    </row>
    <row r="44" spans="1:8" ht="20.100000000000001" customHeight="1" x14ac:dyDescent="0.2">
      <c r="A44" s="24" t="s">
        <v>51</v>
      </c>
      <c r="B44" s="10">
        <v>102330</v>
      </c>
      <c r="C44" s="11" t="s">
        <v>374</v>
      </c>
      <c r="D44" s="7" t="s">
        <v>13</v>
      </c>
      <c r="E44" s="292">
        <f>(((E43*2.5548*'Composições '!E54)+((E41*1.2)/1000)+((E42*0.45)/1000)))*420</f>
        <v>56361.774422671195</v>
      </c>
      <c r="F44" s="277">
        <v>1.38</v>
      </c>
      <c r="G44" s="274">
        <f t="shared" si="9"/>
        <v>1.69</v>
      </c>
      <c r="H44" s="275">
        <f t="shared" si="10"/>
        <v>95251.4</v>
      </c>
    </row>
    <row r="45" spans="1:8" ht="20.100000000000001" customHeight="1" x14ac:dyDescent="0.2">
      <c r="A45" s="24" t="s">
        <v>52</v>
      </c>
      <c r="B45" s="10">
        <v>95875</v>
      </c>
      <c r="C45" s="6" t="s">
        <v>24</v>
      </c>
      <c r="D45" s="7" t="s">
        <v>17</v>
      </c>
      <c r="E45" s="288">
        <f>E43*40</f>
        <v>24063.600000000002</v>
      </c>
      <c r="F45" s="277">
        <v>2.27</v>
      </c>
      <c r="G45" s="274">
        <f t="shared" si="9"/>
        <v>2.77</v>
      </c>
      <c r="H45" s="275">
        <f t="shared" si="10"/>
        <v>66656.17</v>
      </c>
    </row>
    <row r="46" spans="1:8" ht="20.100000000000001" customHeight="1" x14ac:dyDescent="0.2">
      <c r="A46" s="320" t="s">
        <v>429</v>
      </c>
      <c r="B46" s="321"/>
      <c r="C46" s="321"/>
      <c r="D46" s="321"/>
      <c r="E46" s="321"/>
      <c r="F46" s="321"/>
      <c r="G46" s="322"/>
      <c r="H46" s="276">
        <f>SUM(H37:H45)</f>
        <v>2984351.9699999997</v>
      </c>
    </row>
    <row r="47" spans="1:8" ht="20.100000000000001" customHeight="1" x14ac:dyDescent="0.2">
      <c r="A47" s="30" t="s">
        <v>53</v>
      </c>
      <c r="B47" s="31"/>
      <c r="C47" s="32" t="s">
        <v>69</v>
      </c>
      <c r="D47" s="27"/>
      <c r="E47" s="289"/>
      <c r="F47" s="277"/>
      <c r="G47" s="278"/>
      <c r="H47" s="275"/>
    </row>
    <row r="48" spans="1:8" ht="20.100000000000001" customHeight="1" x14ac:dyDescent="0.2">
      <c r="A48" s="24" t="s">
        <v>54</v>
      </c>
      <c r="B48" s="27">
        <v>99814</v>
      </c>
      <c r="C48" s="26" t="s">
        <v>59</v>
      </c>
      <c r="D48" s="27" t="s">
        <v>9</v>
      </c>
      <c r="E48" s="289">
        <v>4020</v>
      </c>
      <c r="F48" s="277">
        <v>1.74</v>
      </c>
      <c r="G48" s="274">
        <f t="shared" ref="G48:G54" si="11">ROUND((F48*(1+$H$7)),2)</f>
        <v>2.13</v>
      </c>
      <c r="H48" s="275">
        <f t="shared" ref="H48:H54" si="12">ROUND((E48*G48),2)</f>
        <v>8562.6</v>
      </c>
    </row>
    <row r="49" spans="1:8" ht="20.100000000000001" customHeight="1" x14ac:dyDescent="0.2">
      <c r="A49" s="24" t="s">
        <v>55</v>
      </c>
      <c r="B49" s="8">
        <v>96402</v>
      </c>
      <c r="C49" s="5" t="s">
        <v>21</v>
      </c>
      <c r="D49" s="4" t="s">
        <v>9</v>
      </c>
      <c r="E49" s="288">
        <f>E48</f>
        <v>4020</v>
      </c>
      <c r="F49" s="280">
        <v>2.76</v>
      </c>
      <c r="G49" s="274">
        <f t="shared" si="11"/>
        <v>3.37</v>
      </c>
      <c r="H49" s="275">
        <f t="shared" si="12"/>
        <v>13547.4</v>
      </c>
    </row>
    <row r="50" spans="1:8" ht="20.100000000000001" customHeight="1" x14ac:dyDescent="0.2">
      <c r="A50" s="24" t="s">
        <v>56</v>
      </c>
      <c r="B50" s="8" t="s">
        <v>355</v>
      </c>
      <c r="C50" s="5" t="s">
        <v>60</v>
      </c>
      <c r="D50" s="4" t="s">
        <v>9</v>
      </c>
      <c r="E50" s="292">
        <f>E49*0.02</f>
        <v>80.400000000000006</v>
      </c>
      <c r="F50" s="280">
        <f>'Composições '!G13</f>
        <v>1264.3131574216002</v>
      </c>
      <c r="G50" s="274">
        <f t="shared" si="11"/>
        <v>1544.74</v>
      </c>
      <c r="H50" s="275">
        <f t="shared" si="12"/>
        <v>124197.1</v>
      </c>
    </row>
    <row r="51" spans="1:8" ht="20.100000000000001" customHeight="1" x14ac:dyDescent="0.2">
      <c r="A51" s="24" t="s">
        <v>57</v>
      </c>
      <c r="B51" s="8">
        <v>96402</v>
      </c>
      <c r="C51" s="5" t="s">
        <v>21</v>
      </c>
      <c r="D51" s="4" t="s">
        <v>9</v>
      </c>
      <c r="E51" s="288">
        <f>E49</f>
        <v>4020</v>
      </c>
      <c r="F51" s="280">
        <v>2.76</v>
      </c>
      <c r="G51" s="274">
        <f t="shared" si="11"/>
        <v>3.37</v>
      </c>
      <c r="H51" s="275">
        <f t="shared" si="12"/>
        <v>13547.4</v>
      </c>
    </row>
    <row r="52" spans="1:8" ht="20.100000000000001" customHeight="1" x14ac:dyDescent="0.2">
      <c r="A52" s="24" t="s">
        <v>58</v>
      </c>
      <c r="B52" s="8" t="s">
        <v>354</v>
      </c>
      <c r="C52" s="9" t="s">
        <v>63</v>
      </c>
      <c r="D52" s="4" t="s">
        <v>11</v>
      </c>
      <c r="E52" s="292">
        <f>E49*0.03</f>
        <v>120.6</v>
      </c>
      <c r="F52" s="280">
        <f>'Composições '!G44</f>
        <v>1396.71480828628</v>
      </c>
      <c r="G52" s="274">
        <f t="shared" si="11"/>
        <v>1706.51</v>
      </c>
      <c r="H52" s="275">
        <f t="shared" si="12"/>
        <v>205805.11</v>
      </c>
    </row>
    <row r="53" spans="1:8" ht="20.100000000000001" customHeight="1" x14ac:dyDescent="0.2">
      <c r="A53" s="24" t="s">
        <v>61</v>
      </c>
      <c r="B53" s="10">
        <v>102330</v>
      </c>
      <c r="C53" s="11" t="s">
        <v>374</v>
      </c>
      <c r="D53" s="7" t="s">
        <v>13</v>
      </c>
      <c r="E53" s="292">
        <f>(((E50*2.5548*'Composições '!E23)+('Orçamento '!E52*2.5548*'Composições '!E54))+(((E51+E49)*0.45)/1000))*420</f>
        <v>14584.793812848</v>
      </c>
      <c r="F53" s="277">
        <v>1.38</v>
      </c>
      <c r="G53" s="274">
        <f t="shared" si="11"/>
        <v>1.69</v>
      </c>
      <c r="H53" s="275">
        <f t="shared" si="12"/>
        <v>24648.3</v>
      </c>
    </row>
    <row r="54" spans="1:8" ht="20.100000000000001" customHeight="1" x14ac:dyDescent="0.2">
      <c r="A54" s="24" t="s">
        <v>62</v>
      </c>
      <c r="B54" s="10">
        <v>95875</v>
      </c>
      <c r="C54" s="6" t="s">
        <v>24</v>
      </c>
      <c r="D54" s="7" t="s">
        <v>17</v>
      </c>
      <c r="E54" s="288">
        <f>(E50+E52)*40</f>
        <v>8040</v>
      </c>
      <c r="F54" s="277">
        <v>2.27</v>
      </c>
      <c r="G54" s="274">
        <f t="shared" si="11"/>
        <v>2.77</v>
      </c>
      <c r="H54" s="275">
        <f t="shared" si="12"/>
        <v>22270.799999999999</v>
      </c>
    </row>
    <row r="55" spans="1:8" ht="20.100000000000001" customHeight="1" x14ac:dyDescent="0.2">
      <c r="A55" s="320" t="s">
        <v>430</v>
      </c>
      <c r="B55" s="321"/>
      <c r="C55" s="321"/>
      <c r="D55" s="321"/>
      <c r="E55" s="321"/>
      <c r="F55" s="321"/>
      <c r="G55" s="322"/>
      <c r="H55" s="276">
        <f>SUM(H48:H54)</f>
        <v>412578.70999999996</v>
      </c>
    </row>
    <row r="56" spans="1:8" ht="20.100000000000001" customHeight="1" x14ac:dyDescent="0.2">
      <c r="A56" s="33" t="s">
        <v>201</v>
      </c>
      <c r="B56" s="318" t="s">
        <v>64</v>
      </c>
      <c r="C56" s="319"/>
      <c r="D56" s="78"/>
      <c r="E56" s="298"/>
      <c r="F56" s="281"/>
      <c r="G56" s="281"/>
      <c r="H56" s="282"/>
    </row>
    <row r="57" spans="1:8" ht="20.100000000000001" customHeight="1" x14ac:dyDescent="0.2">
      <c r="A57" s="34" t="s">
        <v>202</v>
      </c>
      <c r="B57" s="4">
        <v>102512</v>
      </c>
      <c r="C57" s="35" t="s">
        <v>196</v>
      </c>
      <c r="D57" s="4" t="s">
        <v>37</v>
      </c>
      <c r="E57" s="288">
        <v>3600</v>
      </c>
      <c r="F57" s="272">
        <v>4.05</v>
      </c>
      <c r="G57" s="274">
        <f t="shared" ref="G57:G62" si="13">ROUND((F57*(1+$H$7)),2)</f>
        <v>4.95</v>
      </c>
      <c r="H57" s="275">
        <f t="shared" ref="H57:H62" si="14">ROUND((E57*G57),2)</f>
        <v>17820</v>
      </c>
    </row>
    <row r="58" spans="1:8" ht="20.100000000000001" customHeight="1" x14ac:dyDescent="0.2">
      <c r="A58" s="34" t="s">
        <v>203</v>
      </c>
      <c r="B58" s="4">
        <v>102512</v>
      </c>
      <c r="C58" s="35" t="s">
        <v>197</v>
      </c>
      <c r="D58" s="4" t="s">
        <v>37</v>
      </c>
      <c r="E58" s="288">
        <v>6220</v>
      </c>
      <c r="F58" s="272">
        <v>4.05</v>
      </c>
      <c r="G58" s="274">
        <f t="shared" si="13"/>
        <v>4.95</v>
      </c>
      <c r="H58" s="275">
        <f t="shared" si="14"/>
        <v>30789</v>
      </c>
    </row>
    <row r="59" spans="1:8" ht="20.100000000000001" customHeight="1" x14ac:dyDescent="0.2">
      <c r="A59" s="34" t="s">
        <v>204</v>
      </c>
      <c r="B59" s="4">
        <v>96522</v>
      </c>
      <c r="C59" s="35" t="s">
        <v>379</v>
      </c>
      <c r="D59" s="4" t="s">
        <v>11</v>
      </c>
      <c r="E59" s="288">
        <f>0.4*0.4*0.4*14</f>
        <v>0.89600000000000024</v>
      </c>
      <c r="F59" s="272">
        <v>131.91999999999999</v>
      </c>
      <c r="G59" s="274">
        <f t="shared" si="13"/>
        <v>161.18</v>
      </c>
      <c r="H59" s="275">
        <f t="shared" ref="H59" si="15">ROUND((E59*G59),2)</f>
        <v>144.41999999999999</v>
      </c>
    </row>
    <row r="60" spans="1:8" ht="20.100000000000001" customHeight="1" x14ac:dyDescent="0.2">
      <c r="A60" s="34" t="s">
        <v>205</v>
      </c>
      <c r="B60" s="4">
        <v>96616</v>
      </c>
      <c r="C60" s="35" t="s">
        <v>380</v>
      </c>
      <c r="D60" s="4" t="s">
        <v>11</v>
      </c>
      <c r="E60" s="288">
        <f>0.4*0.4*0.4*14</f>
        <v>0.89600000000000024</v>
      </c>
      <c r="F60" s="272">
        <v>560.47</v>
      </c>
      <c r="G60" s="274">
        <f t="shared" si="13"/>
        <v>684.78</v>
      </c>
      <c r="H60" s="275">
        <f t="shared" ref="H60" si="16">ROUND((E60*G60),2)</f>
        <v>613.55999999999995</v>
      </c>
    </row>
    <row r="61" spans="1:8" ht="20.100000000000001" customHeight="1" x14ac:dyDescent="0.2">
      <c r="A61" s="34" t="s">
        <v>377</v>
      </c>
      <c r="B61" s="8">
        <v>34723</v>
      </c>
      <c r="C61" s="5" t="s">
        <v>65</v>
      </c>
      <c r="D61" s="4" t="s">
        <v>9</v>
      </c>
      <c r="E61" s="288">
        <f>0.435*4+(10*0.4*0.4*3.14)</f>
        <v>6.7640000000000011</v>
      </c>
      <c r="F61" s="272">
        <v>519.75</v>
      </c>
      <c r="G61" s="274">
        <f t="shared" si="13"/>
        <v>635.03</v>
      </c>
      <c r="H61" s="275">
        <f t="shared" si="14"/>
        <v>4295.34</v>
      </c>
    </row>
    <row r="62" spans="1:8" ht="20.100000000000001" customHeight="1" x14ac:dyDescent="0.2">
      <c r="A62" s="34" t="s">
        <v>378</v>
      </c>
      <c r="B62" s="8">
        <v>7701</v>
      </c>
      <c r="C62" s="5" t="s">
        <v>66</v>
      </c>
      <c r="D62" s="4" t="s">
        <v>37</v>
      </c>
      <c r="E62" s="288">
        <f>14*3</f>
        <v>42</v>
      </c>
      <c r="F62" s="272">
        <v>124.67</v>
      </c>
      <c r="G62" s="274">
        <f t="shared" si="13"/>
        <v>152.32</v>
      </c>
      <c r="H62" s="275">
        <f t="shared" si="14"/>
        <v>6397.44</v>
      </c>
    </row>
    <row r="63" spans="1:8" ht="20.100000000000001" customHeight="1" x14ac:dyDescent="0.2">
      <c r="A63" s="320" t="s">
        <v>431</v>
      </c>
      <c r="B63" s="321"/>
      <c r="C63" s="321"/>
      <c r="D63" s="321"/>
      <c r="E63" s="321"/>
      <c r="F63" s="321"/>
      <c r="G63" s="322"/>
      <c r="H63" s="276">
        <f>SUM(H57:H62)</f>
        <v>60059.759999999995</v>
      </c>
    </row>
    <row r="64" spans="1:8" ht="20.100000000000001" customHeight="1" thickBot="1" x14ac:dyDescent="0.25">
      <c r="A64" s="323" t="s">
        <v>67</v>
      </c>
      <c r="B64" s="324"/>
      <c r="C64" s="324"/>
      <c r="D64" s="324"/>
      <c r="E64" s="324"/>
      <c r="F64" s="324"/>
      <c r="G64" s="325"/>
      <c r="H64" s="283">
        <f>H15+H26+H35+H46+H55+H63</f>
        <v>4219370.8199999994</v>
      </c>
    </row>
    <row r="65" spans="1:9" x14ac:dyDescent="0.2">
      <c r="H65" s="265"/>
    </row>
    <row r="66" spans="1:9" x14ac:dyDescent="0.2">
      <c r="A66" s="1" t="s">
        <v>208</v>
      </c>
      <c r="H66" s="267"/>
    </row>
    <row r="67" spans="1:9" x14ac:dyDescent="0.2">
      <c r="C67" s="85"/>
      <c r="E67" s="294"/>
      <c r="F67" s="267"/>
      <c r="G67" s="267"/>
      <c r="H67" s="285"/>
    </row>
    <row r="68" spans="1:9" x14ac:dyDescent="0.2">
      <c r="E68" s="294"/>
      <c r="F68" s="267"/>
      <c r="G68" s="267"/>
      <c r="H68" s="267"/>
    </row>
    <row r="69" spans="1:9" x14ac:dyDescent="0.2">
      <c r="H69" s="267"/>
    </row>
    <row r="70" spans="1:9" x14ac:dyDescent="0.2">
      <c r="C70" s="169"/>
      <c r="H70" s="267"/>
    </row>
    <row r="71" spans="1:9" x14ac:dyDescent="0.2">
      <c r="C71" s="86" t="s">
        <v>209</v>
      </c>
      <c r="E71" s="300"/>
      <c r="F71" s="286" t="s">
        <v>211</v>
      </c>
      <c r="G71" s="286"/>
      <c r="H71" s="267"/>
      <c r="I71" s="28"/>
    </row>
    <row r="72" spans="1:9" x14ac:dyDescent="0.2">
      <c r="C72" s="86" t="s">
        <v>210</v>
      </c>
      <c r="E72" s="294"/>
      <c r="F72" s="267" t="s">
        <v>212</v>
      </c>
      <c r="G72" s="267"/>
      <c r="H72" s="267"/>
    </row>
    <row r="73" spans="1:9" x14ac:dyDescent="0.2">
      <c r="E73" s="294"/>
      <c r="F73" s="267" t="s">
        <v>213</v>
      </c>
      <c r="G73" s="267"/>
      <c r="H73" s="267"/>
    </row>
    <row r="77" spans="1:9" x14ac:dyDescent="0.2">
      <c r="H77" s="267"/>
    </row>
  </sheetData>
  <mergeCells count="9">
    <mergeCell ref="B56:C56"/>
    <mergeCell ref="A63:G63"/>
    <mergeCell ref="A64:G64"/>
    <mergeCell ref="F9:G9"/>
    <mergeCell ref="A15:G15"/>
    <mergeCell ref="A26:G26"/>
    <mergeCell ref="A35:G35"/>
    <mergeCell ref="A46:G46"/>
    <mergeCell ref="A55:G55"/>
  </mergeCells>
  <phoneticPr fontId="45" type="noConversion"/>
  <conditionalFormatting sqref="B37 B33:B34">
    <cfRule type="expression" dxfId="103" priority="9" stopIfTrue="1">
      <formula>OR($G33="M",$G33="A")</formula>
    </cfRule>
  </conditionalFormatting>
  <conditionalFormatting sqref="B53">
    <cfRule type="expression" dxfId="102" priority="7" stopIfTrue="1">
      <formula>OR($G53="M",$G53="A")</formula>
    </cfRule>
  </conditionalFormatting>
  <conditionalFormatting sqref="B57">
    <cfRule type="expression" dxfId="101" priority="5" stopIfTrue="1">
      <formula>OR($G57="M",$G57="A")</formula>
    </cfRule>
  </conditionalFormatting>
  <conditionalFormatting sqref="B44">
    <cfRule type="expression" dxfId="100" priority="4" stopIfTrue="1">
      <formula>OR($G44="M",$G44="A")</formula>
    </cfRule>
  </conditionalFormatting>
  <conditionalFormatting sqref="B32">
    <cfRule type="expression" dxfId="99" priority="3" stopIfTrue="1">
      <formula>OR($G32="M",$G32="A")</formula>
    </cfRule>
  </conditionalFormatting>
  <conditionalFormatting sqref="B58:B60">
    <cfRule type="expression" dxfId="98" priority="2" stopIfTrue="1">
      <formula>OR($G58="M",$G58="A")</formula>
    </cfRule>
  </conditionalFormatting>
  <conditionalFormatting sqref="B30:B31">
    <cfRule type="expression" dxfId="97" priority="1" stopIfTrue="1">
      <formula>OR($G30="M",$G30="A")</formula>
    </cfRule>
  </conditionalFormatting>
  <pageMargins left="0.51181102362204722" right="0.31496062992125984" top="0.98425196850393704" bottom="0.98425196850393704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view="pageBreakPreview" topLeftCell="A10" zoomScale="80" zoomScaleNormal="100" zoomScaleSheetLayoutView="80" workbookViewId="0">
      <selection activeCell="B15" sqref="B15"/>
    </sheetView>
  </sheetViews>
  <sheetFormatPr defaultRowHeight="15" x14ac:dyDescent="0.25"/>
  <cols>
    <col min="2" max="2" width="45.5703125" bestFit="1" customWidth="1"/>
    <col min="3" max="3" width="17.140625" customWidth="1"/>
    <col min="5" max="5" width="17.7109375" customWidth="1"/>
    <col min="6" max="6" width="15" customWidth="1"/>
    <col min="8" max="8" width="15.7109375" customWidth="1"/>
    <col min="9" max="9" width="18" customWidth="1"/>
    <col min="10" max="10" width="15.28515625" customWidth="1"/>
    <col min="12" max="12" width="14.7109375" bestFit="1" customWidth="1"/>
    <col min="13" max="14" width="14.7109375" customWidth="1"/>
    <col min="16" max="16" width="14.7109375" bestFit="1" customWidth="1"/>
    <col min="17" max="18" width="14.7109375" customWidth="1"/>
    <col min="19" max="19" width="8" bestFit="1" customWidth="1"/>
    <col min="20" max="20" width="14.7109375" bestFit="1" customWidth="1"/>
    <col min="21" max="22" width="14.7109375" customWidth="1"/>
    <col min="24" max="24" width="14.7109375" bestFit="1" customWidth="1"/>
    <col min="25" max="26" width="14.7109375" customWidth="1"/>
    <col min="28" max="28" width="14.7109375" bestFit="1" customWidth="1"/>
    <col min="29" max="31" width="14.7109375" customWidth="1"/>
  </cols>
  <sheetData>
    <row r="1" spans="1:31" ht="15.75" x14ac:dyDescent="0.25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83"/>
      <c r="R1" s="83"/>
      <c r="S1" s="52"/>
      <c r="T1" s="52"/>
      <c r="U1" s="52"/>
      <c r="V1" s="52"/>
    </row>
    <row r="2" spans="1:31" ht="15.75" x14ac:dyDescent="0.25">
      <c r="A2" s="346" t="s">
        <v>20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84"/>
      <c r="R2" s="84"/>
      <c r="S2" s="52"/>
      <c r="T2" s="52"/>
      <c r="U2" s="52"/>
      <c r="V2" s="52"/>
    </row>
    <row r="3" spans="1:31" ht="15.75" x14ac:dyDescent="0.25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84"/>
      <c r="R3" s="84"/>
      <c r="S3" s="52"/>
      <c r="T3" s="52"/>
      <c r="U3" s="52"/>
      <c r="V3" s="52"/>
    </row>
    <row r="4" spans="1:31" ht="16.5" thickBot="1" x14ac:dyDescent="0.3">
      <c r="A4" s="347" t="s">
        <v>156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84"/>
      <c r="R4" s="84"/>
      <c r="S4" s="161"/>
      <c r="T4" s="161"/>
      <c r="U4" s="161"/>
      <c r="V4" s="161"/>
      <c r="W4" s="50"/>
      <c r="X4" s="50"/>
      <c r="Y4" s="50"/>
      <c r="Z4" s="50"/>
      <c r="AA4" s="50"/>
      <c r="AB4" s="50"/>
      <c r="AC4" s="50"/>
      <c r="AD4" s="50"/>
    </row>
    <row r="5" spans="1:31" ht="16.5" thickBot="1" x14ac:dyDescent="0.3">
      <c r="A5" s="184"/>
      <c r="B5" s="185"/>
      <c r="C5" s="185"/>
      <c r="D5" s="186"/>
      <c r="E5" s="186"/>
      <c r="F5" s="186"/>
      <c r="G5" s="162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4"/>
      <c r="T5" s="164"/>
      <c r="U5" s="164"/>
      <c r="V5" s="164"/>
      <c r="W5" s="165"/>
      <c r="X5" s="165"/>
      <c r="Y5" s="165"/>
      <c r="Z5" s="165"/>
      <c r="AA5" s="165"/>
      <c r="AB5" s="165"/>
      <c r="AC5" s="165"/>
      <c r="AD5" s="166"/>
      <c r="AE5" s="96"/>
    </row>
    <row r="6" spans="1:31" ht="24.95" customHeight="1" thickBot="1" x14ac:dyDescent="0.3">
      <c r="A6" s="348" t="s">
        <v>157</v>
      </c>
      <c r="B6" s="350" t="s">
        <v>158</v>
      </c>
      <c r="C6" s="352" t="s">
        <v>159</v>
      </c>
      <c r="D6" s="89" t="s">
        <v>160</v>
      </c>
      <c r="E6" s="358" t="s">
        <v>214</v>
      </c>
      <c r="F6" s="360" t="s">
        <v>215</v>
      </c>
      <c r="G6" s="355" t="s">
        <v>161</v>
      </c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7"/>
      <c r="AE6" s="97"/>
    </row>
    <row r="7" spans="1:31" ht="24.95" customHeight="1" x14ac:dyDescent="0.25">
      <c r="A7" s="349"/>
      <c r="B7" s="351"/>
      <c r="C7" s="353"/>
      <c r="D7" s="53" t="s">
        <v>162</v>
      </c>
      <c r="E7" s="359"/>
      <c r="F7" s="361"/>
      <c r="G7" s="342" t="s">
        <v>163</v>
      </c>
      <c r="H7" s="343"/>
      <c r="I7" s="92" t="s">
        <v>214</v>
      </c>
      <c r="J7" s="152" t="s">
        <v>215</v>
      </c>
      <c r="K7" s="342" t="s">
        <v>164</v>
      </c>
      <c r="L7" s="343"/>
      <c r="M7" s="82" t="s">
        <v>214</v>
      </c>
      <c r="N7" s="81" t="s">
        <v>215</v>
      </c>
      <c r="O7" s="340" t="s">
        <v>165</v>
      </c>
      <c r="P7" s="354"/>
      <c r="Q7" s="94" t="s">
        <v>214</v>
      </c>
      <c r="R7" s="128" t="s">
        <v>215</v>
      </c>
      <c r="S7" s="340" t="s">
        <v>166</v>
      </c>
      <c r="T7" s="341"/>
      <c r="U7" s="151" t="s">
        <v>214</v>
      </c>
      <c r="V7" s="153" t="s">
        <v>215</v>
      </c>
      <c r="W7" s="342" t="s">
        <v>172</v>
      </c>
      <c r="X7" s="343"/>
      <c r="Y7" s="95" t="s">
        <v>214</v>
      </c>
      <c r="Z7" s="90" t="s">
        <v>215</v>
      </c>
      <c r="AA7" s="344" t="s">
        <v>173</v>
      </c>
      <c r="AB7" s="342"/>
      <c r="AC7" s="95" t="s">
        <v>214</v>
      </c>
      <c r="AD7" s="128" t="s">
        <v>215</v>
      </c>
      <c r="AE7" s="98"/>
    </row>
    <row r="8" spans="1:31" ht="24.95" customHeight="1" x14ac:dyDescent="0.25">
      <c r="A8" s="54">
        <v>1</v>
      </c>
      <c r="B8" s="55" t="s">
        <v>167</v>
      </c>
      <c r="C8" s="56"/>
      <c r="D8" s="57"/>
      <c r="E8" s="57"/>
      <c r="F8" s="117"/>
      <c r="G8" s="113"/>
      <c r="H8" s="58"/>
      <c r="I8" s="58"/>
      <c r="J8" s="123"/>
      <c r="K8" s="113"/>
      <c r="L8" s="58"/>
      <c r="M8" s="58"/>
      <c r="N8" s="101"/>
      <c r="O8" s="145"/>
      <c r="P8" s="58"/>
      <c r="Q8" s="58"/>
      <c r="R8" s="123"/>
      <c r="S8" s="113"/>
      <c r="T8" s="58"/>
      <c r="U8" s="58"/>
      <c r="V8" s="123"/>
      <c r="W8" s="113"/>
      <c r="X8" s="58"/>
      <c r="Y8" s="58"/>
      <c r="Z8" s="58"/>
      <c r="AA8" s="58"/>
      <c r="AB8" s="101"/>
      <c r="AC8" s="103"/>
      <c r="AD8" s="158"/>
      <c r="AE8" s="99"/>
    </row>
    <row r="9" spans="1:31" ht="24.95" customHeight="1" x14ac:dyDescent="0.25">
      <c r="A9" s="59" t="s">
        <v>8</v>
      </c>
      <c r="B9" s="60" t="str">
        <f>'Orçamento '!C10</f>
        <v>ADMINISTRAÇÃO</v>
      </c>
      <c r="C9" s="61">
        <f>'Orçamento '!H15</f>
        <v>179202.08000000002</v>
      </c>
      <c r="D9" s="62">
        <f t="shared" ref="D9:D14" si="0">(C9/C$21)*100</f>
        <v>4.2471280113749295</v>
      </c>
      <c r="E9" s="88">
        <v>0</v>
      </c>
      <c r="F9" s="118">
        <f>C9</f>
        <v>179202.08000000002</v>
      </c>
      <c r="G9" s="114">
        <v>0.17</v>
      </c>
      <c r="H9" s="64">
        <f>G9*$C9</f>
        <v>30464.353600000006</v>
      </c>
      <c r="I9" s="64">
        <v>0</v>
      </c>
      <c r="J9" s="124">
        <f>H9</f>
        <v>30464.353600000006</v>
      </c>
      <c r="K9" s="114">
        <v>0.17</v>
      </c>
      <c r="L9" s="64">
        <f>K9*$C9</f>
        <v>30464.353600000006</v>
      </c>
      <c r="M9" s="64">
        <v>0</v>
      </c>
      <c r="N9" s="102">
        <f>L9</f>
        <v>30464.353600000006</v>
      </c>
      <c r="O9" s="146">
        <v>0.17</v>
      </c>
      <c r="P9" s="64">
        <f>O9*$C9</f>
        <v>30464.353600000006</v>
      </c>
      <c r="Q9" s="64">
        <v>0</v>
      </c>
      <c r="R9" s="124">
        <f>P9</f>
        <v>30464.353600000006</v>
      </c>
      <c r="S9" s="114">
        <v>0.17</v>
      </c>
      <c r="T9" s="64">
        <f>S9*$C9</f>
        <v>30464.353600000006</v>
      </c>
      <c r="U9" s="64">
        <v>0</v>
      </c>
      <c r="V9" s="124">
        <f>T9</f>
        <v>30464.353600000006</v>
      </c>
      <c r="W9" s="114">
        <v>0.17</v>
      </c>
      <c r="X9" s="64">
        <f>W9*$C9</f>
        <v>30464.353600000006</v>
      </c>
      <c r="Y9" s="64">
        <v>0</v>
      </c>
      <c r="Z9" s="64">
        <f>X9</f>
        <v>30464.353600000006</v>
      </c>
      <c r="AA9" s="63">
        <v>0.15</v>
      </c>
      <c r="AB9" s="102">
        <f>AA9*$C9</f>
        <v>26880.312000000002</v>
      </c>
      <c r="AC9" s="64">
        <v>0</v>
      </c>
      <c r="AD9" s="124">
        <f>AB9</f>
        <v>26880.312000000002</v>
      </c>
      <c r="AE9" s="76">
        <f t="shared" ref="AE9:AE14" si="1">G9+K9+O9+S9+W9+AA9</f>
        <v>1</v>
      </c>
    </row>
    <row r="10" spans="1:31" ht="24.95" customHeight="1" x14ac:dyDescent="0.25">
      <c r="A10" s="59" t="s">
        <v>10</v>
      </c>
      <c r="B10" s="60" t="str">
        <f>'Orçamento '!C16</f>
        <v>DRENAGEM PLUVIAL</v>
      </c>
      <c r="C10" s="61">
        <f>'Orçamento '!H26</f>
        <v>87817.5</v>
      </c>
      <c r="D10" s="62">
        <f t="shared" si="0"/>
        <v>2.0812937223659334</v>
      </c>
      <c r="E10" s="88">
        <f t="shared" ref="E10:E14" si="2">C10*0.8</f>
        <v>70254</v>
      </c>
      <c r="F10" s="118">
        <f>C10-E10</f>
        <v>17563.5</v>
      </c>
      <c r="G10" s="114">
        <v>0.2</v>
      </c>
      <c r="H10" s="64">
        <f t="shared" ref="H10:H14" si="3">G10*$C10</f>
        <v>17563.5</v>
      </c>
      <c r="I10" s="64">
        <f>H10*0.8</f>
        <v>14050.800000000001</v>
      </c>
      <c r="J10" s="124">
        <f>H10-I10</f>
        <v>3512.6999999999989</v>
      </c>
      <c r="K10" s="114">
        <v>0.2</v>
      </c>
      <c r="L10" s="64">
        <f t="shared" ref="L10:L14" si="4">K10*$C10</f>
        <v>17563.5</v>
      </c>
      <c r="M10" s="64">
        <f>L10*0.8</f>
        <v>14050.800000000001</v>
      </c>
      <c r="N10" s="102">
        <f>L10-M10</f>
        <v>3512.6999999999989</v>
      </c>
      <c r="O10" s="146">
        <v>0.3</v>
      </c>
      <c r="P10" s="64">
        <f t="shared" ref="P10:P14" si="5">O10*$C10</f>
        <v>26345.25</v>
      </c>
      <c r="Q10" s="64">
        <f>P10*0.8</f>
        <v>21076.2</v>
      </c>
      <c r="R10" s="124">
        <f>P10-Q10</f>
        <v>5269.0499999999993</v>
      </c>
      <c r="S10" s="114">
        <v>0.3</v>
      </c>
      <c r="T10" s="64">
        <f t="shared" ref="T10:T14" si="6">S10*$C10</f>
        <v>26345.25</v>
      </c>
      <c r="U10" s="64">
        <f>T10*0.8</f>
        <v>21076.2</v>
      </c>
      <c r="V10" s="124">
        <f>T10-U10</f>
        <v>5269.0499999999993</v>
      </c>
      <c r="W10" s="114"/>
      <c r="X10" s="64">
        <f t="shared" ref="X10:X14" si="7">W10*$C10</f>
        <v>0</v>
      </c>
      <c r="Y10" s="64">
        <v>0</v>
      </c>
      <c r="Z10" s="64">
        <v>0</v>
      </c>
      <c r="AA10" s="63"/>
      <c r="AB10" s="102">
        <f t="shared" ref="AB10:AB14" si="8">AA10*$C10</f>
        <v>0</v>
      </c>
      <c r="AC10" s="64">
        <v>0</v>
      </c>
      <c r="AD10" s="124"/>
      <c r="AE10" s="76">
        <f t="shared" si="1"/>
        <v>1</v>
      </c>
    </row>
    <row r="11" spans="1:31" ht="24.95" customHeight="1" x14ac:dyDescent="0.25">
      <c r="A11" s="59" t="s">
        <v>12</v>
      </c>
      <c r="B11" s="60" t="str">
        <f>'Orçamento '!C27</f>
        <v>MOVIMENTAÇÃO DE SOLO</v>
      </c>
      <c r="C11" s="61">
        <f>'Orçamento '!H35</f>
        <v>495360.8</v>
      </c>
      <c r="D11" s="62">
        <f t="shared" si="0"/>
        <v>11.740157979288487</v>
      </c>
      <c r="E11" s="88">
        <f t="shared" si="2"/>
        <v>396288.64</v>
      </c>
      <c r="F11" s="118">
        <f t="shared" ref="F11:F14" si="9">C11-E11</f>
        <v>99072.159999999974</v>
      </c>
      <c r="G11" s="114">
        <v>0.3</v>
      </c>
      <c r="H11" s="64">
        <f t="shared" si="3"/>
        <v>148608.24</v>
      </c>
      <c r="I11" s="64">
        <f t="shared" ref="I11:I14" si="10">H11*0.8</f>
        <v>118886.592</v>
      </c>
      <c r="J11" s="124">
        <f t="shared" ref="J11:J14" si="11">H11-I11</f>
        <v>29721.647999999986</v>
      </c>
      <c r="K11" s="114">
        <v>0.3</v>
      </c>
      <c r="L11" s="64">
        <f t="shared" si="4"/>
        <v>148608.24</v>
      </c>
      <c r="M11" s="64">
        <f t="shared" ref="M11:M14" si="12">L11*0.8</f>
        <v>118886.592</v>
      </c>
      <c r="N11" s="102">
        <f t="shared" ref="N11:N14" si="13">L11-M11</f>
        <v>29721.647999999986</v>
      </c>
      <c r="O11" s="146">
        <v>0.3</v>
      </c>
      <c r="P11" s="64">
        <f t="shared" si="5"/>
        <v>148608.24</v>
      </c>
      <c r="Q11" s="64">
        <f t="shared" ref="Q11:Q14" si="14">P11*0.8</f>
        <v>118886.592</v>
      </c>
      <c r="R11" s="124">
        <f t="shared" ref="R11:R14" si="15">P11-Q11</f>
        <v>29721.647999999986</v>
      </c>
      <c r="S11" s="114">
        <v>0.1</v>
      </c>
      <c r="T11" s="64">
        <f t="shared" si="6"/>
        <v>49536.08</v>
      </c>
      <c r="U11" s="64">
        <f t="shared" ref="U11:U14" si="16">T11*0.8</f>
        <v>39628.864000000001</v>
      </c>
      <c r="V11" s="124">
        <f t="shared" ref="V11:V13" si="17">T11-U11</f>
        <v>9907.2160000000003</v>
      </c>
      <c r="W11" s="114"/>
      <c r="X11" s="64">
        <f t="shared" si="7"/>
        <v>0</v>
      </c>
      <c r="Y11" s="64">
        <v>0</v>
      </c>
      <c r="Z11" s="64">
        <v>0</v>
      </c>
      <c r="AA11" s="63"/>
      <c r="AB11" s="102">
        <f t="shared" si="8"/>
        <v>0</v>
      </c>
      <c r="AC11" s="64">
        <v>0</v>
      </c>
      <c r="AD11" s="124"/>
      <c r="AE11" s="76">
        <f t="shared" si="1"/>
        <v>0.99999999999999989</v>
      </c>
    </row>
    <row r="12" spans="1:31" ht="24.95" customHeight="1" x14ac:dyDescent="0.25">
      <c r="A12" s="59" t="s">
        <v>168</v>
      </c>
      <c r="B12" s="60" t="str">
        <f>'Orçamento '!C36</f>
        <v>PAVIMENTAÇÃO - CBUQ SOBRE BASE</v>
      </c>
      <c r="C12" s="61">
        <f>'Orçamento '!H46</f>
        <v>2984351.9699999997</v>
      </c>
      <c r="D12" s="62">
        <f t="shared" si="0"/>
        <v>70.729786437685036</v>
      </c>
      <c r="E12" s="88">
        <f t="shared" si="2"/>
        <v>2387481.5759999999</v>
      </c>
      <c r="F12" s="118">
        <f t="shared" si="9"/>
        <v>596870.39399999985</v>
      </c>
      <c r="G12" s="114">
        <v>0.1</v>
      </c>
      <c r="H12" s="64">
        <f t="shared" si="3"/>
        <v>298435.19699999999</v>
      </c>
      <c r="I12" s="64">
        <f t="shared" si="10"/>
        <v>238748.15760000001</v>
      </c>
      <c r="J12" s="124">
        <f t="shared" si="11"/>
        <v>59687.03939999998</v>
      </c>
      <c r="K12" s="114">
        <v>0.15</v>
      </c>
      <c r="L12" s="64">
        <f t="shared" si="4"/>
        <v>447652.79549999995</v>
      </c>
      <c r="M12" s="64">
        <f t="shared" si="12"/>
        <v>358122.23639999999</v>
      </c>
      <c r="N12" s="102">
        <f t="shared" si="13"/>
        <v>89530.559099999955</v>
      </c>
      <c r="O12" s="146">
        <v>0.2</v>
      </c>
      <c r="P12" s="64">
        <f t="shared" si="5"/>
        <v>596870.39399999997</v>
      </c>
      <c r="Q12" s="64">
        <f t="shared" si="14"/>
        <v>477496.31520000001</v>
      </c>
      <c r="R12" s="124">
        <f t="shared" si="15"/>
        <v>119374.07879999996</v>
      </c>
      <c r="S12" s="114">
        <v>0.2</v>
      </c>
      <c r="T12" s="64">
        <f t="shared" si="6"/>
        <v>596870.39399999997</v>
      </c>
      <c r="U12" s="64">
        <f t="shared" si="16"/>
        <v>477496.31520000001</v>
      </c>
      <c r="V12" s="124">
        <f t="shared" si="17"/>
        <v>119374.07879999996</v>
      </c>
      <c r="W12" s="114">
        <v>0.2</v>
      </c>
      <c r="X12" s="64">
        <f t="shared" si="7"/>
        <v>596870.39399999997</v>
      </c>
      <c r="Y12" s="64">
        <f>X12*0.8</f>
        <v>477496.31520000001</v>
      </c>
      <c r="Z12" s="64">
        <f>X12-Y12</f>
        <v>119374.07879999996</v>
      </c>
      <c r="AA12" s="63">
        <v>0.15</v>
      </c>
      <c r="AB12" s="102">
        <f t="shared" si="8"/>
        <v>447652.79549999995</v>
      </c>
      <c r="AC12" s="104">
        <f>AB12*0.8</f>
        <v>358122.23639999999</v>
      </c>
      <c r="AD12" s="159">
        <f>AB12-AC12</f>
        <v>89530.559099999955</v>
      </c>
      <c r="AE12" s="76">
        <f t="shared" si="1"/>
        <v>1</v>
      </c>
    </row>
    <row r="13" spans="1:31" ht="24.95" customHeight="1" x14ac:dyDescent="0.25">
      <c r="A13" s="59" t="s">
        <v>169</v>
      </c>
      <c r="B13" s="60" t="str">
        <f>'Orçamento '!C47</f>
        <v>PAVIMENTAÇÃO - CBUQ SOBRE CALÇAMENTO</v>
      </c>
      <c r="C13" s="61">
        <f>'Orçamento '!H55</f>
        <v>412578.70999999996</v>
      </c>
      <c r="D13" s="62">
        <f t="shared" si="0"/>
        <v>9.778204561788197</v>
      </c>
      <c r="E13" s="88">
        <f t="shared" si="2"/>
        <v>330062.96799999999</v>
      </c>
      <c r="F13" s="118">
        <f t="shared" si="9"/>
        <v>82515.741999999969</v>
      </c>
      <c r="G13" s="114">
        <v>0</v>
      </c>
      <c r="H13" s="64">
        <f t="shared" si="3"/>
        <v>0</v>
      </c>
      <c r="I13" s="64">
        <f t="shared" si="10"/>
        <v>0</v>
      </c>
      <c r="J13" s="124">
        <f t="shared" si="11"/>
        <v>0</v>
      </c>
      <c r="K13" s="114"/>
      <c r="L13" s="64">
        <f t="shared" si="4"/>
        <v>0</v>
      </c>
      <c r="M13" s="64">
        <f t="shared" si="12"/>
        <v>0</v>
      </c>
      <c r="N13" s="102">
        <f t="shared" si="13"/>
        <v>0</v>
      </c>
      <c r="O13" s="146">
        <v>0</v>
      </c>
      <c r="P13" s="64">
        <f t="shared" si="5"/>
        <v>0</v>
      </c>
      <c r="Q13" s="64">
        <f t="shared" si="14"/>
        <v>0</v>
      </c>
      <c r="R13" s="124">
        <f t="shared" si="15"/>
        <v>0</v>
      </c>
      <c r="S13" s="114">
        <v>0.2</v>
      </c>
      <c r="T13" s="64">
        <f t="shared" si="6"/>
        <v>82515.741999999998</v>
      </c>
      <c r="U13" s="64">
        <f t="shared" si="16"/>
        <v>66012.593600000007</v>
      </c>
      <c r="V13" s="124">
        <f t="shared" si="17"/>
        <v>16503.148399999991</v>
      </c>
      <c r="W13" s="114">
        <v>0.8</v>
      </c>
      <c r="X13" s="64">
        <f t="shared" si="7"/>
        <v>330062.96799999999</v>
      </c>
      <c r="Y13" s="64">
        <f>X13*0.8</f>
        <v>264050.37440000003</v>
      </c>
      <c r="Z13" s="64">
        <f>X13-Y13</f>
        <v>66012.593599999964</v>
      </c>
      <c r="AA13" s="63"/>
      <c r="AB13" s="102">
        <f t="shared" si="8"/>
        <v>0</v>
      </c>
      <c r="AC13" s="105">
        <f t="shared" ref="AC13:AC14" si="18">AB13*0.8</f>
        <v>0</v>
      </c>
      <c r="AD13" s="159">
        <f t="shared" ref="AD13:AD14" si="19">AB13-AC13</f>
        <v>0</v>
      </c>
      <c r="AE13" s="76">
        <f t="shared" si="1"/>
        <v>1</v>
      </c>
    </row>
    <row r="14" spans="1:31" ht="24.95" customHeight="1" x14ac:dyDescent="0.25">
      <c r="A14" s="59" t="s">
        <v>170</v>
      </c>
      <c r="B14" s="60" t="str">
        <f>'Orçamento '!B56</f>
        <v>SINALIZAÇÃO VIÁRIA</v>
      </c>
      <c r="C14" s="61">
        <f>'Orçamento '!H63</f>
        <v>60059.759999999995</v>
      </c>
      <c r="D14" s="62">
        <f t="shared" si="0"/>
        <v>1.423429287497419</v>
      </c>
      <c r="E14" s="88">
        <f t="shared" si="2"/>
        <v>48047.807999999997</v>
      </c>
      <c r="F14" s="118">
        <f t="shared" si="9"/>
        <v>12011.951999999997</v>
      </c>
      <c r="G14" s="114">
        <v>0</v>
      </c>
      <c r="H14" s="64">
        <f t="shared" si="3"/>
        <v>0</v>
      </c>
      <c r="I14" s="64">
        <f t="shared" si="10"/>
        <v>0</v>
      </c>
      <c r="J14" s="124">
        <f t="shared" si="11"/>
        <v>0</v>
      </c>
      <c r="K14" s="114">
        <v>0</v>
      </c>
      <c r="L14" s="64">
        <f t="shared" si="4"/>
        <v>0</v>
      </c>
      <c r="M14" s="64">
        <f t="shared" si="12"/>
        <v>0</v>
      </c>
      <c r="N14" s="102">
        <f t="shared" si="13"/>
        <v>0</v>
      </c>
      <c r="O14" s="146"/>
      <c r="P14" s="64">
        <f t="shared" si="5"/>
        <v>0</v>
      </c>
      <c r="Q14" s="64">
        <f t="shared" si="14"/>
        <v>0</v>
      </c>
      <c r="R14" s="124">
        <f t="shared" si="15"/>
        <v>0</v>
      </c>
      <c r="S14" s="114"/>
      <c r="T14" s="64">
        <f t="shared" si="6"/>
        <v>0</v>
      </c>
      <c r="U14" s="64">
        <f t="shared" si="16"/>
        <v>0</v>
      </c>
      <c r="V14" s="124"/>
      <c r="W14" s="114"/>
      <c r="X14" s="64">
        <f t="shared" si="7"/>
        <v>0</v>
      </c>
      <c r="Y14" s="64"/>
      <c r="Z14" s="64"/>
      <c r="AA14" s="63">
        <v>1</v>
      </c>
      <c r="AB14" s="102">
        <f t="shared" si="8"/>
        <v>60059.759999999995</v>
      </c>
      <c r="AC14" s="105">
        <f t="shared" si="18"/>
        <v>48047.807999999997</v>
      </c>
      <c r="AD14" s="124">
        <f t="shared" si="19"/>
        <v>12011.951999999997</v>
      </c>
      <c r="AE14" s="76">
        <f t="shared" si="1"/>
        <v>1</v>
      </c>
    </row>
    <row r="15" spans="1:31" ht="24.95" customHeight="1" x14ac:dyDescent="0.25">
      <c r="A15" s="65"/>
      <c r="B15" s="109"/>
      <c r="C15" s="66"/>
      <c r="D15" s="67"/>
      <c r="E15" s="110"/>
      <c r="F15" s="119"/>
      <c r="G15" s="115">
        <f>H15/$C$21</f>
        <v>0.11733296543961974</v>
      </c>
      <c r="H15" s="69">
        <f>SUM(H9:H14)</f>
        <v>495071.29059999995</v>
      </c>
      <c r="I15" s="69"/>
      <c r="J15" s="70"/>
      <c r="K15" s="115">
        <f>L15/$C$21</f>
        <v>0.15269785865846225</v>
      </c>
      <c r="L15" s="69">
        <f>SUM(L9:L14)</f>
        <v>644288.88909999991</v>
      </c>
      <c r="M15" s="69"/>
      <c r="N15" s="142"/>
      <c r="O15" s="147">
        <f>P15/$C$21</f>
        <v>0.19014404559967074</v>
      </c>
      <c r="P15" s="69">
        <f>SUM(P9:P14)</f>
        <v>802288.23759999999</v>
      </c>
      <c r="Q15" s="69"/>
      <c r="R15" s="70"/>
      <c r="S15" s="115">
        <f>T15/$C$21</f>
        <v>0.18622013876467014</v>
      </c>
      <c r="T15" s="91">
        <f>SUM(T9:T14)</f>
        <v>785731.81959999993</v>
      </c>
      <c r="U15" s="69"/>
      <c r="V15" s="129"/>
      <c r="W15" s="115">
        <f>X15/$C$21</f>
        <v>0.22690532698901306</v>
      </c>
      <c r="X15" s="69">
        <f>SUM(X9:X14)</f>
        <v>957397.7156</v>
      </c>
      <c r="Y15" s="69"/>
      <c r="Z15" s="69"/>
      <c r="AA15" s="68">
        <f>AB15/$C$21</f>
        <v>0.12669966454856416</v>
      </c>
      <c r="AB15" s="91">
        <f>SUM(AB9:AB14)</f>
        <v>534592.86749999993</v>
      </c>
      <c r="AC15" s="106"/>
      <c r="AD15" s="160"/>
      <c r="AE15" s="100"/>
    </row>
    <row r="16" spans="1:31" ht="24.95" customHeight="1" x14ac:dyDescent="0.25">
      <c r="A16" s="120"/>
      <c r="B16" s="107"/>
      <c r="C16" s="107"/>
      <c r="D16" s="111"/>
      <c r="E16" s="111"/>
      <c r="F16" s="121"/>
      <c r="G16" s="120"/>
      <c r="H16" s="111"/>
      <c r="I16" s="111"/>
      <c r="J16" s="125"/>
      <c r="K16" s="120"/>
      <c r="L16" s="111"/>
      <c r="M16" s="111"/>
      <c r="N16" s="96"/>
      <c r="O16" s="120"/>
      <c r="P16" s="111"/>
      <c r="Q16" s="111"/>
      <c r="R16" s="125"/>
      <c r="S16" s="107"/>
      <c r="T16" s="137"/>
      <c r="U16" s="111"/>
      <c r="V16" s="125"/>
      <c r="W16" s="120"/>
      <c r="X16" s="111"/>
      <c r="Y16" s="111"/>
      <c r="Z16" s="111"/>
      <c r="AA16" s="111"/>
      <c r="AB16" s="107"/>
      <c r="AC16" s="154"/>
      <c r="AD16" s="155"/>
      <c r="AE16" s="100"/>
    </row>
    <row r="17" spans="1:31" x14ac:dyDescent="0.25">
      <c r="A17" s="120"/>
      <c r="B17" s="107"/>
      <c r="C17" s="107"/>
      <c r="D17" s="111"/>
      <c r="E17" s="111"/>
      <c r="F17" s="121"/>
      <c r="G17" s="120"/>
      <c r="H17" s="111"/>
      <c r="I17" s="111"/>
      <c r="J17" s="125"/>
      <c r="K17" s="120"/>
      <c r="L17" s="111"/>
      <c r="M17" s="111"/>
      <c r="N17" s="96"/>
      <c r="O17" s="120"/>
      <c r="P17" s="111"/>
      <c r="Q17" s="111"/>
      <c r="R17" s="125"/>
      <c r="S17" s="107"/>
      <c r="T17" s="137"/>
      <c r="U17" s="111"/>
      <c r="V17" s="125"/>
      <c r="W17" s="120"/>
      <c r="X17" s="111"/>
      <c r="Y17" s="111"/>
      <c r="Z17" s="111"/>
      <c r="AA17" s="111"/>
      <c r="AB17" s="107"/>
      <c r="AC17" s="111"/>
      <c r="AD17" s="125"/>
    </row>
    <row r="18" spans="1:31" x14ac:dyDescent="0.25">
      <c r="A18" s="120"/>
      <c r="B18" s="111"/>
      <c r="C18" s="111"/>
      <c r="D18" s="111"/>
      <c r="E18" s="136">
        <f>SUM(E10:E17)</f>
        <v>3232134.9920000001</v>
      </c>
      <c r="F18" s="130">
        <f>SUM(F9:F17)</f>
        <v>987235.82799999986</v>
      </c>
      <c r="G18" s="120"/>
      <c r="H18" s="111"/>
      <c r="I18" s="139">
        <f>SUM(I9:I17)</f>
        <v>371685.54960000003</v>
      </c>
      <c r="J18" s="140">
        <f>SUM(J9:J17)</f>
        <v>123385.74099999998</v>
      </c>
      <c r="K18" s="107"/>
      <c r="L18" s="111"/>
      <c r="M18" s="139">
        <f>SUM(M9:M17)</f>
        <v>491059.62839999999</v>
      </c>
      <c r="N18" s="143">
        <f>SUM(N9:N17)</f>
        <v>153229.26069999996</v>
      </c>
      <c r="O18" s="120"/>
      <c r="P18" s="111"/>
      <c r="Q18" s="139">
        <f>SUM(Q9:Q17)</f>
        <v>617459.10719999997</v>
      </c>
      <c r="R18" s="150">
        <f>SUM(R9:R17)</f>
        <v>184829.13039999997</v>
      </c>
      <c r="S18" s="120"/>
      <c r="T18" s="137"/>
      <c r="U18" s="156">
        <f>SUM(U9:U17)</f>
        <v>604213.97279999999</v>
      </c>
      <c r="V18" s="140">
        <f>SUM(V9:V17)</f>
        <v>181517.84679999994</v>
      </c>
      <c r="W18" s="120"/>
      <c r="X18" s="111"/>
      <c r="Y18" s="156">
        <f>SUM(Y9:Y17)</f>
        <v>741546.68960000004</v>
      </c>
      <c r="Z18" s="139">
        <f>SUM(Z9:Z17)</f>
        <v>215851.02599999993</v>
      </c>
      <c r="AA18" s="111"/>
      <c r="AB18" s="107"/>
      <c r="AC18" s="139">
        <f>SUM(AC9:AC17)</f>
        <v>406170.04440000001</v>
      </c>
      <c r="AD18" s="140">
        <f>SUM(AD9:AD17)</f>
        <v>128422.82309999995</v>
      </c>
    </row>
    <row r="19" spans="1:31" x14ac:dyDescent="0.25">
      <c r="A19" s="120"/>
      <c r="B19" s="107"/>
      <c r="C19" s="111"/>
      <c r="D19" s="111"/>
      <c r="E19" s="111"/>
      <c r="F19" s="125"/>
      <c r="G19" s="107"/>
      <c r="H19" s="111"/>
      <c r="I19" s="329">
        <f>I18+J18</f>
        <v>495071.29060000001</v>
      </c>
      <c r="J19" s="333"/>
      <c r="K19" s="107"/>
      <c r="L19" s="111"/>
      <c r="M19" s="329">
        <f>M18+N18</f>
        <v>644288.88909999991</v>
      </c>
      <c r="N19" s="330"/>
      <c r="O19" s="120"/>
      <c r="P19" s="111"/>
      <c r="Q19" s="329">
        <f>Q18+R18</f>
        <v>802288.23759999988</v>
      </c>
      <c r="R19" s="333"/>
      <c r="S19" s="107"/>
      <c r="T19" s="137"/>
      <c r="U19" s="329">
        <f>U18+V18</f>
        <v>785731.81959999993</v>
      </c>
      <c r="V19" s="333"/>
      <c r="W19" s="120"/>
      <c r="X19" s="111"/>
      <c r="Y19" s="329">
        <f>Y18+Z18</f>
        <v>957397.7156</v>
      </c>
      <c r="Z19" s="338"/>
      <c r="AA19" s="111"/>
      <c r="AB19" s="107"/>
      <c r="AC19" s="329">
        <f>AC18+AD18</f>
        <v>534592.86749999993</v>
      </c>
      <c r="AD19" s="333"/>
    </row>
    <row r="20" spans="1:31" ht="16.5" thickBot="1" x14ac:dyDescent="0.3">
      <c r="A20" s="183"/>
      <c r="B20" s="131"/>
      <c r="C20" s="132"/>
      <c r="D20" s="133"/>
      <c r="E20" s="134"/>
      <c r="F20" s="149"/>
      <c r="G20" s="167"/>
      <c r="H20" s="138"/>
      <c r="I20" s="334"/>
      <c r="J20" s="335"/>
      <c r="K20" s="135"/>
      <c r="L20" s="138"/>
      <c r="M20" s="331"/>
      <c r="N20" s="332"/>
      <c r="O20" s="148"/>
      <c r="P20" s="138"/>
      <c r="Q20" s="334"/>
      <c r="R20" s="335"/>
      <c r="S20" s="144"/>
      <c r="T20" s="141"/>
      <c r="U20" s="334"/>
      <c r="V20" s="335"/>
      <c r="W20" s="122"/>
      <c r="X20" s="112"/>
      <c r="Y20" s="334"/>
      <c r="Z20" s="339"/>
      <c r="AA20" s="112"/>
      <c r="AB20" s="108"/>
      <c r="AC20" s="334"/>
      <c r="AD20" s="335"/>
    </row>
    <row r="21" spans="1:31" ht="16.5" thickBot="1" x14ac:dyDescent="0.3">
      <c r="A21" s="71" t="s">
        <v>171</v>
      </c>
      <c r="B21" s="72"/>
      <c r="C21" s="73">
        <f>SUM(C9:C15)</f>
        <v>4219370.8199999994</v>
      </c>
      <c r="D21" s="74">
        <f>SUM(D9:D14)</f>
        <v>100</v>
      </c>
      <c r="E21" s="74"/>
      <c r="F21" s="93"/>
      <c r="G21" s="127">
        <f>H21/$C$21</f>
        <v>0.11733296543961974</v>
      </c>
      <c r="H21" s="327">
        <f>H15</f>
        <v>495071.29059999995</v>
      </c>
      <c r="I21" s="327"/>
      <c r="J21" s="327"/>
      <c r="K21" s="126">
        <f>L21/$C$21</f>
        <v>0.27003082409808199</v>
      </c>
      <c r="L21" s="328">
        <f>L15+H21</f>
        <v>1139360.1796999997</v>
      </c>
      <c r="M21" s="327"/>
      <c r="N21" s="327"/>
      <c r="O21" s="126">
        <f>P21/$C$21</f>
        <v>0.46017486969775273</v>
      </c>
      <c r="P21" s="328">
        <f>P15+L21</f>
        <v>1941648.4172999999</v>
      </c>
      <c r="Q21" s="327"/>
      <c r="R21" s="336"/>
      <c r="S21" s="116">
        <f>T21/$C$21</f>
        <v>0.64639500846242293</v>
      </c>
      <c r="T21" s="328">
        <f>T15+P21</f>
        <v>2727380.2368999999</v>
      </c>
      <c r="U21" s="327"/>
      <c r="V21" s="336"/>
      <c r="W21" s="116">
        <f>X21/$C$21</f>
        <v>0.87330033545143593</v>
      </c>
      <c r="X21" s="328">
        <f>X15+T21</f>
        <v>3684777.9524999997</v>
      </c>
      <c r="Y21" s="327"/>
      <c r="Z21" s="337"/>
      <c r="AA21" s="75">
        <f>AB21/$C$21</f>
        <v>1</v>
      </c>
      <c r="AB21" s="328">
        <f>AB15+X21</f>
        <v>4219370.8199999994</v>
      </c>
      <c r="AC21" s="327"/>
      <c r="AD21" s="336"/>
    </row>
    <row r="22" spans="1:31" x14ac:dyDescent="0.25">
      <c r="J22" s="1"/>
      <c r="K22" s="1"/>
      <c r="AC22" s="157"/>
      <c r="AD22" s="157"/>
      <c r="AE22" s="96"/>
    </row>
    <row r="23" spans="1:31" x14ac:dyDescent="0.25">
      <c r="J23" s="1"/>
      <c r="K23" s="1"/>
    </row>
    <row r="24" spans="1:31" x14ac:dyDescent="0.25">
      <c r="J24" s="28"/>
      <c r="K24" s="28"/>
    </row>
    <row r="25" spans="1:31" x14ac:dyDescent="0.25">
      <c r="C25" s="168"/>
      <c r="D25" s="168"/>
      <c r="H25" s="96"/>
      <c r="I25" s="168"/>
      <c r="J25" s="96"/>
      <c r="K25" s="96"/>
    </row>
    <row r="26" spans="1:31" x14ac:dyDescent="0.25">
      <c r="C26" s="79" t="s">
        <v>209</v>
      </c>
      <c r="D26" s="2"/>
      <c r="E26" s="2"/>
      <c r="F26" s="2"/>
      <c r="G26" s="1"/>
      <c r="H26" s="87" t="s">
        <v>211</v>
      </c>
      <c r="I26" s="1"/>
    </row>
    <row r="27" spans="1:31" x14ac:dyDescent="0.25">
      <c r="C27" s="79" t="s">
        <v>210</v>
      </c>
      <c r="D27" s="2"/>
      <c r="E27" s="2"/>
      <c r="F27" s="2"/>
      <c r="G27" s="1"/>
      <c r="H27" s="1" t="s">
        <v>212</v>
      </c>
      <c r="I27" s="1"/>
    </row>
    <row r="28" spans="1:31" x14ac:dyDescent="0.25">
      <c r="C28" s="3"/>
      <c r="D28" s="2"/>
      <c r="E28" s="2"/>
      <c r="F28" s="2"/>
      <c r="G28" s="1"/>
      <c r="H28" s="1" t="s">
        <v>213</v>
      </c>
      <c r="I28" s="1"/>
    </row>
  </sheetData>
  <mergeCells count="28">
    <mergeCell ref="S7:T7"/>
    <mergeCell ref="W7:X7"/>
    <mergeCell ref="AA7:AB7"/>
    <mergeCell ref="A1:P1"/>
    <mergeCell ref="A2:P2"/>
    <mergeCell ref="A3:P3"/>
    <mergeCell ref="A4:P4"/>
    <mergeCell ref="A6:A7"/>
    <mergeCell ref="B6:B7"/>
    <mergeCell ref="C6:C7"/>
    <mergeCell ref="G7:H7"/>
    <mergeCell ref="K7:L7"/>
    <mergeCell ref="O7:P7"/>
    <mergeCell ref="G6:AD6"/>
    <mergeCell ref="E6:E7"/>
    <mergeCell ref="F6:F7"/>
    <mergeCell ref="H21:J21"/>
    <mergeCell ref="L21:N21"/>
    <mergeCell ref="M19:N20"/>
    <mergeCell ref="I19:J20"/>
    <mergeCell ref="AB21:AD21"/>
    <mergeCell ref="AC19:AD20"/>
    <mergeCell ref="Q19:R20"/>
    <mergeCell ref="P21:R21"/>
    <mergeCell ref="T21:V21"/>
    <mergeCell ref="U19:V20"/>
    <mergeCell ref="X21:Z21"/>
    <mergeCell ref="Y19:Z20"/>
  </mergeCells>
  <pageMargins left="0.51181102362204722" right="0.51181102362204722" top="0.78740157480314965" bottom="0.78740157480314965" header="0.31496062992125984" footer="0.31496062992125984"/>
  <pageSetup paperSize="9" scale="2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I28" workbookViewId="0">
      <selection activeCell="N49" sqref="N49"/>
    </sheetView>
  </sheetViews>
  <sheetFormatPr defaultRowHeight="15" x14ac:dyDescent="0.25"/>
  <cols>
    <col min="1" max="8" width="0" hidden="1" customWidth="1"/>
  </cols>
  <sheetData>
    <row r="1" spans="1:18" x14ac:dyDescent="0.25">
      <c r="E1" s="188" t="s">
        <v>216</v>
      </c>
      <c r="F1" s="188" t="s">
        <v>217</v>
      </c>
      <c r="G1" s="188" t="s">
        <v>218</v>
      </c>
      <c r="H1" s="189"/>
      <c r="N1" s="190"/>
      <c r="Q1" s="390" t="s">
        <v>219</v>
      </c>
      <c r="R1" s="390"/>
    </row>
    <row r="2" spans="1:18" ht="15.75" x14ac:dyDescent="0.25">
      <c r="A2" s="191" t="s">
        <v>220</v>
      </c>
      <c r="B2" s="192" t="s">
        <v>221</v>
      </c>
      <c r="C2" s="191" t="str">
        <f t="shared" ref="C2:C15" si="0">CONCATENATE(A2,"-",B2)</f>
        <v>Construção e Reforma de Edifícios-AC</v>
      </c>
      <c r="E2" s="193">
        <v>0.03</v>
      </c>
      <c r="F2" s="193">
        <v>0.04</v>
      </c>
      <c r="G2" s="193">
        <v>5.5E-2</v>
      </c>
      <c r="H2" s="189"/>
      <c r="N2" s="194"/>
      <c r="Q2" s="391" t="s">
        <v>222</v>
      </c>
      <c r="R2" s="391"/>
    </row>
    <row r="3" spans="1:18" x14ac:dyDescent="0.25">
      <c r="A3" s="191" t="str">
        <f>A2</f>
        <v>Construção e Reforma de Edifícios</v>
      </c>
      <c r="B3" s="192" t="s">
        <v>223</v>
      </c>
      <c r="C3" s="191" t="str">
        <f t="shared" si="0"/>
        <v>Construção e Reforma de Edifícios-SG</v>
      </c>
      <c r="E3" s="193">
        <v>8.0000000000000002E-3</v>
      </c>
      <c r="F3" s="193">
        <v>8.0000000000000002E-3</v>
      </c>
      <c r="G3" s="193">
        <v>0.01</v>
      </c>
      <c r="H3" s="189"/>
    </row>
    <row r="4" spans="1:18" x14ac:dyDescent="0.25">
      <c r="A4" s="191" t="str">
        <f>A3</f>
        <v>Construção e Reforma de Edifícios</v>
      </c>
      <c r="B4" s="192" t="s">
        <v>224</v>
      </c>
      <c r="C4" s="191" t="str">
        <f t="shared" si="0"/>
        <v>Construção e Reforma de Edifícios-R</v>
      </c>
      <c r="E4" s="193">
        <v>9.7000000000000003E-3</v>
      </c>
      <c r="F4" s="193">
        <v>1.2699999999999999E-2</v>
      </c>
      <c r="G4" s="193">
        <v>1.2699999999999999E-2</v>
      </c>
      <c r="H4" s="189"/>
      <c r="I4" s="385" t="s">
        <v>225</v>
      </c>
      <c r="J4" s="385"/>
      <c r="K4" s="385" t="s">
        <v>226</v>
      </c>
      <c r="L4" s="385"/>
      <c r="M4" s="385"/>
      <c r="N4" s="385"/>
      <c r="O4" s="385"/>
      <c r="P4" s="385"/>
      <c r="Q4" s="385"/>
      <c r="R4" s="385"/>
    </row>
    <row r="5" spans="1:18" x14ac:dyDescent="0.25">
      <c r="A5" s="191" t="str">
        <f>A4</f>
        <v>Construção e Reforma de Edifícios</v>
      </c>
      <c r="B5" s="192" t="s">
        <v>227</v>
      </c>
      <c r="C5" s="191" t="str">
        <f t="shared" si="0"/>
        <v>Construção e Reforma de Edifícios-DF</v>
      </c>
      <c r="E5" s="193">
        <v>5.8999999999999999E-3</v>
      </c>
      <c r="F5" s="193">
        <v>1.23E-2</v>
      </c>
      <c r="G5" s="193">
        <v>1.3899999999999999E-2</v>
      </c>
      <c r="H5" s="189"/>
      <c r="I5" s="392" t="s">
        <v>228</v>
      </c>
      <c r="J5" s="392"/>
      <c r="K5" s="393" t="s">
        <v>229</v>
      </c>
      <c r="L5" s="393"/>
      <c r="M5" s="393"/>
      <c r="N5" s="393"/>
      <c r="O5" s="393"/>
      <c r="P5" s="393"/>
      <c r="Q5" s="393"/>
      <c r="R5" s="393"/>
    </row>
    <row r="6" spans="1:18" x14ac:dyDescent="0.25">
      <c r="A6" s="191" t="str">
        <f>A5</f>
        <v>Construção e Reforma de Edifícios</v>
      </c>
      <c r="B6" s="192" t="s">
        <v>230</v>
      </c>
      <c r="C6" s="191" t="str">
        <f t="shared" si="0"/>
        <v>Construção e Reforma de Edifícios-L</v>
      </c>
      <c r="E6" s="193">
        <v>6.1600000000000002E-2</v>
      </c>
      <c r="F6" s="193">
        <v>7.3999999999999996E-2</v>
      </c>
      <c r="G6" s="193">
        <v>8.9599999999999999E-2</v>
      </c>
      <c r="H6" s="189"/>
      <c r="I6" s="195"/>
      <c r="J6" s="195"/>
      <c r="K6" s="195"/>
      <c r="L6" s="195"/>
      <c r="M6" s="195"/>
      <c r="N6" s="195"/>
      <c r="O6" s="195"/>
      <c r="P6" s="195"/>
      <c r="Q6" s="195"/>
      <c r="R6" s="195"/>
    </row>
    <row r="7" spans="1:18" x14ac:dyDescent="0.25">
      <c r="A7" s="191" t="str">
        <f>A6</f>
        <v>Construção e Reforma de Edifícios</v>
      </c>
      <c r="B7" s="196" t="s">
        <v>231</v>
      </c>
      <c r="C7" s="191" t="str">
        <f t="shared" si="0"/>
        <v>Construção e Reforma de Edifícios-BDI PAD</v>
      </c>
      <c r="E7" s="193">
        <v>0.2034</v>
      </c>
      <c r="F7" s="193">
        <v>0.22120000000000001</v>
      </c>
      <c r="G7" s="193">
        <v>0.25</v>
      </c>
      <c r="H7" s="189"/>
      <c r="I7" s="385" t="s">
        <v>232</v>
      </c>
      <c r="J7" s="385"/>
      <c r="K7" s="385"/>
      <c r="L7" s="385"/>
      <c r="M7" s="385"/>
      <c r="N7" s="385"/>
      <c r="O7" s="385"/>
      <c r="P7" s="385"/>
      <c r="Q7" s="385"/>
      <c r="R7" s="385"/>
    </row>
    <row r="8" spans="1:18" x14ac:dyDescent="0.25">
      <c r="A8" s="191" t="s">
        <v>233</v>
      </c>
      <c r="B8" s="192" t="s">
        <v>221</v>
      </c>
      <c r="C8" s="191" t="str">
        <f t="shared" si="0"/>
        <v>Construção de Praças Urbanas, Rodovias, Ferrovias e recapeamento e pavimentação de vias urbanas-AC</v>
      </c>
      <c r="E8" s="193">
        <v>3.7999999999999999E-2</v>
      </c>
      <c r="F8" s="193">
        <v>4.0099999999999997E-2</v>
      </c>
      <c r="G8" s="193">
        <v>4.6699999999999998E-2</v>
      </c>
      <c r="H8" s="189"/>
      <c r="I8" s="386" t="s">
        <v>234</v>
      </c>
      <c r="J8" s="386"/>
      <c r="K8" s="386"/>
      <c r="L8" s="386"/>
      <c r="M8" s="386"/>
      <c r="N8" s="386"/>
      <c r="O8" s="386"/>
      <c r="P8" s="386"/>
      <c r="Q8" s="386"/>
      <c r="R8" s="386"/>
    </row>
    <row r="9" spans="1:18" x14ac:dyDescent="0.25">
      <c r="A9" s="191" t="s">
        <v>233</v>
      </c>
      <c r="B9" s="192" t="s">
        <v>223</v>
      </c>
      <c r="C9" s="191" t="str">
        <f t="shared" si="0"/>
        <v>Construção de Praças Urbanas, Rodovias, Ferrovias e recapeamento e pavimentação de vias urbanas-SG</v>
      </c>
      <c r="E9" s="193">
        <v>3.2000000000000002E-3</v>
      </c>
      <c r="F9" s="193">
        <v>4.0000000000000001E-3</v>
      </c>
      <c r="G9" s="193">
        <v>7.4000000000000003E-3</v>
      </c>
      <c r="H9" s="189"/>
      <c r="I9" s="197"/>
      <c r="J9" s="195"/>
      <c r="K9" s="195"/>
      <c r="L9" s="195"/>
      <c r="M9" s="195"/>
      <c r="N9" s="195"/>
      <c r="O9" s="195"/>
      <c r="P9" s="195"/>
      <c r="Q9" s="195"/>
      <c r="R9" s="195"/>
    </row>
    <row r="10" spans="1:18" x14ac:dyDescent="0.25">
      <c r="A10" s="191" t="s">
        <v>233</v>
      </c>
      <c r="B10" s="192" t="s">
        <v>224</v>
      </c>
      <c r="C10" s="191" t="str">
        <f t="shared" si="0"/>
        <v>Construção de Praças Urbanas, Rodovias, Ferrovias e recapeamento e pavimentação de vias urbanas-R</v>
      </c>
      <c r="E10" s="193">
        <v>5.0000000000000001E-3</v>
      </c>
      <c r="F10" s="193">
        <v>5.5999999999999999E-3</v>
      </c>
      <c r="G10" s="193">
        <v>9.7000000000000003E-3</v>
      </c>
      <c r="H10" s="189"/>
      <c r="I10" s="387" t="s">
        <v>235</v>
      </c>
      <c r="J10" s="387"/>
      <c r="K10" s="387"/>
      <c r="L10" s="387"/>
      <c r="M10" s="387"/>
      <c r="N10" s="387"/>
      <c r="O10" s="387"/>
      <c r="P10" s="387"/>
      <c r="Q10" s="385" t="s">
        <v>236</v>
      </c>
      <c r="R10" s="385"/>
    </row>
    <row r="11" spans="1:18" x14ac:dyDescent="0.25">
      <c r="A11" s="191" t="s">
        <v>233</v>
      </c>
      <c r="B11" s="192" t="s">
        <v>227</v>
      </c>
      <c r="C11" s="191" t="str">
        <f t="shared" si="0"/>
        <v>Construção de Praças Urbanas, Rodovias, Ferrovias e recapeamento e pavimentação de vias urbanas-DF</v>
      </c>
      <c r="E11" s="193">
        <v>1.0200000000000001E-2</v>
      </c>
      <c r="F11" s="193">
        <v>1.11E-2</v>
      </c>
      <c r="G11" s="193">
        <v>1.21E-2</v>
      </c>
      <c r="H11" s="189"/>
      <c r="I11" s="388" t="s">
        <v>233</v>
      </c>
      <c r="J11" s="388"/>
      <c r="K11" s="388"/>
      <c r="L11" s="388"/>
      <c r="M11" s="388"/>
      <c r="N11" s="388"/>
      <c r="O11" s="388"/>
      <c r="P11" s="388"/>
      <c r="Q11" s="389" t="s">
        <v>237</v>
      </c>
      <c r="R11" s="389"/>
    </row>
    <row r="12" spans="1:18" x14ac:dyDescent="0.25">
      <c r="A12" s="191" t="s">
        <v>233</v>
      </c>
      <c r="B12" s="192" t="s">
        <v>230</v>
      </c>
      <c r="C12" s="191" t="str">
        <f t="shared" si="0"/>
        <v>Construção de Praças Urbanas, Rodovias, Ferrovias e recapeamento e pavimentação de vias urbanas-L</v>
      </c>
      <c r="E12" s="193">
        <v>6.6400000000000001E-2</v>
      </c>
      <c r="F12" s="193">
        <v>7.2999999999999995E-2</v>
      </c>
      <c r="G12" s="193">
        <v>8.6900000000000005E-2</v>
      </c>
      <c r="H12" s="189"/>
    </row>
    <row r="13" spans="1:18" x14ac:dyDescent="0.25">
      <c r="A13" s="191" t="s">
        <v>233</v>
      </c>
      <c r="B13" s="196" t="s">
        <v>231</v>
      </c>
      <c r="C13" s="191" t="str">
        <f t="shared" si="0"/>
        <v>Construção de Praças Urbanas, Rodovias, Ferrovias e recapeamento e pavimentação de vias urbanas-BDI PAD</v>
      </c>
      <c r="E13" s="193">
        <v>0.19600000000000001</v>
      </c>
      <c r="F13" s="193">
        <v>0.2097</v>
      </c>
      <c r="G13" s="193">
        <v>0.24229999999999999</v>
      </c>
      <c r="H13" s="189"/>
      <c r="I13" s="379" t="s">
        <v>238</v>
      </c>
      <c r="J13" s="379"/>
      <c r="K13" s="379"/>
      <c r="L13" s="379"/>
      <c r="M13" s="379"/>
      <c r="N13" s="379"/>
      <c r="O13" s="379"/>
      <c r="P13" s="379"/>
      <c r="Q13" s="380">
        <v>0.3</v>
      </c>
      <c r="R13" s="380"/>
    </row>
    <row r="14" spans="1:18" x14ac:dyDescent="0.25">
      <c r="A14" s="191" t="s">
        <v>239</v>
      </c>
      <c r="B14" s="192" t="s">
        <v>221</v>
      </c>
      <c r="C14" s="191" t="str">
        <f t="shared" si="0"/>
        <v>Construção de Redes de Abastecimento de Água, Coleta de Esgoto-AC</v>
      </c>
      <c r="E14" s="193">
        <v>3.4299999999999997E-2</v>
      </c>
      <c r="F14" s="193">
        <v>4.9299999999999997E-2</v>
      </c>
      <c r="G14" s="193">
        <v>6.7100000000000007E-2</v>
      </c>
      <c r="H14" s="189"/>
      <c r="I14" s="381" t="s">
        <v>240</v>
      </c>
      <c r="J14" s="381"/>
      <c r="K14" s="381"/>
      <c r="L14" s="381"/>
      <c r="M14" s="381"/>
      <c r="N14" s="381"/>
      <c r="O14" s="381"/>
      <c r="P14" s="381"/>
      <c r="Q14" s="380">
        <v>0.02</v>
      </c>
      <c r="R14" s="380"/>
    </row>
    <row r="15" spans="1:18" x14ac:dyDescent="0.25">
      <c r="A15" s="191" t="str">
        <f>A14</f>
        <v>Construção de Redes de Abastecimento de Água, Coleta de Esgoto</v>
      </c>
      <c r="B15" s="192" t="s">
        <v>223</v>
      </c>
      <c r="C15" s="191" t="str">
        <f t="shared" si="0"/>
        <v>Construção de Redes de Abastecimento de Água, Coleta de Esgoto-SG</v>
      </c>
      <c r="E15" s="193">
        <v>2.8E-3</v>
      </c>
      <c r="F15" s="193">
        <v>4.8999999999999998E-3</v>
      </c>
      <c r="G15" s="193">
        <v>7.4999999999999997E-3</v>
      </c>
      <c r="H15" s="189"/>
    </row>
    <row r="16" spans="1:18" x14ac:dyDescent="0.25">
      <c r="B16" s="192"/>
      <c r="E16" s="193"/>
      <c r="F16" s="193"/>
      <c r="G16" s="193"/>
      <c r="H16" s="189"/>
      <c r="I16" s="382" t="s">
        <v>241</v>
      </c>
      <c r="J16" s="382"/>
      <c r="K16" s="382"/>
      <c r="L16" s="382"/>
      <c r="M16" s="382" t="s">
        <v>242</v>
      </c>
      <c r="N16" s="383" t="s">
        <v>243</v>
      </c>
      <c r="O16" s="383" t="s">
        <v>244</v>
      </c>
      <c r="P16" s="384" t="s">
        <v>245</v>
      </c>
      <c r="Q16" s="384"/>
      <c r="R16" s="384"/>
    </row>
    <row r="17" spans="1:18" x14ac:dyDescent="0.25">
      <c r="A17" s="191" t="str">
        <f>A15</f>
        <v>Construção de Redes de Abastecimento de Água, Coleta de Esgoto</v>
      </c>
      <c r="B17" s="192" t="s">
        <v>224</v>
      </c>
      <c r="C17" s="191" t="str">
        <f t="shared" ref="C17:C29" si="1">CONCATENATE(A17,"-",B17)</f>
        <v>Construção de Redes de Abastecimento de Água, Coleta de Esgoto-R</v>
      </c>
      <c r="E17" s="193">
        <v>0.01</v>
      </c>
      <c r="F17" s="193">
        <v>1.3899999999999999E-2</v>
      </c>
      <c r="G17" s="193">
        <v>1.7399999999999999E-2</v>
      </c>
      <c r="H17" s="189"/>
      <c r="I17" s="382"/>
      <c r="J17" s="382"/>
      <c r="K17" s="382"/>
      <c r="L17" s="382"/>
      <c r="M17" s="382"/>
      <c r="N17" s="383"/>
      <c r="O17" s="383"/>
      <c r="P17" s="198" t="s">
        <v>246</v>
      </c>
      <c r="Q17" s="198" t="s">
        <v>247</v>
      </c>
      <c r="R17" s="199" t="s">
        <v>248</v>
      </c>
    </row>
    <row r="18" spans="1:18" x14ac:dyDescent="0.25">
      <c r="A18" s="191" t="str">
        <f>A17</f>
        <v>Construção de Redes de Abastecimento de Água, Coleta de Esgoto</v>
      </c>
      <c r="B18" s="192" t="s">
        <v>227</v>
      </c>
      <c r="C18" s="191" t="str">
        <f t="shared" si="1"/>
        <v>Construção de Redes de Abastecimento de Água, Coleta de Esgoto-DF</v>
      </c>
      <c r="E18" s="193">
        <v>9.4000000000000004E-3</v>
      </c>
      <c r="F18" s="193">
        <v>9.9000000000000008E-3</v>
      </c>
      <c r="G18" s="193">
        <v>1.17E-2</v>
      </c>
      <c r="H18" s="189"/>
      <c r="I18" s="370" t="str">
        <f>IF($I$11=$A$61,"Encargos Sociais incidentes sobre a mão de obra","Administração Central")</f>
        <v>Administração Central</v>
      </c>
      <c r="J18" s="370"/>
      <c r="K18" s="370"/>
      <c r="L18" s="370"/>
      <c r="M18" s="200" t="str">
        <f>IF($I$11=$A$61,"K1","AC")</f>
        <v>AC</v>
      </c>
      <c r="N18" s="201">
        <v>4.6699999999999998E-2</v>
      </c>
      <c r="O18" s="202" t="s">
        <v>249</v>
      </c>
      <c r="P18" s="203">
        <f>VLOOKUP(CONCATENATE(I$11,"-",M18),$C$2:$G$52,3,0)</f>
        <v>3.7999999999999999E-2</v>
      </c>
      <c r="Q18" s="203">
        <f>VLOOKUP(CONCATENATE(I$11,"-",M18),$C$2:$G$52,4,0)</f>
        <v>4.0099999999999997E-2</v>
      </c>
      <c r="R18" s="203">
        <f>VLOOKUP(CONCATENATE(I$11,"-",M18),$C$2:$G$52,5,0)</f>
        <v>4.6699999999999998E-2</v>
      </c>
    </row>
    <row r="19" spans="1:18" x14ac:dyDescent="0.25">
      <c r="A19" s="191" t="str">
        <f>A18</f>
        <v>Construção de Redes de Abastecimento de Água, Coleta de Esgoto</v>
      </c>
      <c r="B19" s="192" t="s">
        <v>230</v>
      </c>
      <c r="C19" s="191" t="str">
        <f t="shared" si="1"/>
        <v>Construção de Redes de Abastecimento de Água, Coleta de Esgoto-L</v>
      </c>
      <c r="E19" s="193">
        <v>6.7400000000000002E-2</v>
      </c>
      <c r="F19" s="193">
        <v>8.0399999999999999E-2</v>
      </c>
      <c r="G19" s="193">
        <v>9.4E-2</v>
      </c>
      <c r="H19" s="189"/>
      <c r="I19" s="370" t="str">
        <f>IF($I$11=$A$61,"Administração Central da empresa ou consultoria - overhead","Seguro e Garantia")</f>
        <v>Seguro e Garantia</v>
      </c>
      <c r="J19" s="370"/>
      <c r="K19" s="370"/>
      <c r="L19" s="370"/>
      <c r="M19" s="200" t="str">
        <f>IF($I$11=$A$61,"K2","SG")</f>
        <v>SG</v>
      </c>
      <c r="N19" s="201">
        <v>7.4000000000000003E-3</v>
      </c>
      <c r="O19" s="202" t="s">
        <v>249</v>
      </c>
      <c r="P19" s="203">
        <f>VLOOKUP(CONCATENATE(I$11,"-",M19),$C$2:$G$52,3,0)</f>
        <v>3.2000000000000002E-3</v>
      </c>
      <c r="Q19" s="203">
        <f>VLOOKUP(CONCATENATE(I$11,"-",M19),$C$2:$G$52,4,0)</f>
        <v>4.0000000000000001E-3</v>
      </c>
      <c r="R19" s="203">
        <f>VLOOKUP(CONCATENATE(I$11,"-",M19),$C$2:$G$52,5,0)</f>
        <v>7.4000000000000003E-3</v>
      </c>
    </row>
    <row r="20" spans="1:18" x14ac:dyDescent="0.25">
      <c r="A20" s="191" t="str">
        <f>A19</f>
        <v>Construção de Redes de Abastecimento de Água, Coleta de Esgoto</v>
      </c>
      <c r="B20" s="196" t="s">
        <v>231</v>
      </c>
      <c r="C20" s="191" t="str">
        <f t="shared" si="1"/>
        <v>Construção de Redes de Abastecimento de Água, Coleta de Esgoto-BDI PAD</v>
      </c>
      <c r="E20" s="193">
        <v>0.20760000000000001</v>
      </c>
      <c r="F20" s="193">
        <v>0.24179999999999999</v>
      </c>
      <c r="G20" s="193">
        <v>0.26440000000000002</v>
      </c>
      <c r="H20" s="189"/>
      <c r="I20" s="370" t="str">
        <f>IF($I$11=$A$61,"","Risco")</f>
        <v>Risco</v>
      </c>
      <c r="J20" s="370"/>
      <c r="K20" s="370"/>
      <c r="L20" s="370"/>
      <c r="M20" s="200" t="str">
        <f>IF($I$11=$A$61,"","R")</f>
        <v>R</v>
      </c>
      <c r="N20" s="201">
        <v>9.7000000000000003E-3</v>
      </c>
      <c r="O20" s="202" t="s">
        <v>249</v>
      </c>
      <c r="P20" s="203">
        <f>VLOOKUP(CONCATENATE(I$11,"-",M20),$C$2:$G$52,3,0)</f>
        <v>5.0000000000000001E-3</v>
      </c>
      <c r="Q20" s="203">
        <f>VLOOKUP(CONCATENATE(I$11,"-",M20),$C$2:$G$52,4,0)</f>
        <v>5.5999999999999999E-3</v>
      </c>
      <c r="R20" s="203">
        <f>VLOOKUP(CONCATENATE(I$11,"-",M20),$C$2:$G$52,5,0)</f>
        <v>9.7000000000000003E-3</v>
      </c>
    </row>
    <row r="21" spans="1:18" x14ac:dyDescent="0.25">
      <c r="A21" s="191" t="s">
        <v>250</v>
      </c>
      <c r="B21" s="192" t="s">
        <v>221</v>
      </c>
      <c r="C21" s="191" t="str">
        <f t="shared" si="1"/>
        <v>Construção e Manutenção de Estações e Redes de Distribuição de Energia Elétrica-AC</v>
      </c>
      <c r="E21" s="193">
        <v>5.2900000000000003E-2</v>
      </c>
      <c r="F21" s="193">
        <v>5.9200000000000003E-2</v>
      </c>
      <c r="G21" s="193">
        <v>7.9299999999999995E-2</v>
      </c>
      <c r="H21" s="189"/>
      <c r="I21" s="370" t="str">
        <f>IF($I$11=$A$61,"","Despesas Financeiras")</f>
        <v>Despesas Financeiras</v>
      </c>
      <c r="J21" s="370"/>
      <c r="K21" s="370"/>
      <c r="L21" s="370"/>
      <c r="M21" s="200" t="str">
        <f>IF($I$11=$A$61,"","DF")</f>
        <v>DF</v>
      </c>
      <c r="N21" s="201">
        <v>1.21E-2</v>
      </c>
      <c r="O21" s="202" t="s">
        <v>249</v>
      </c>
      <c r="P21" s="203">
        <f>VLOOKUP(CONCATENATE(I$11,"-",M21),$C$2:$G$52,3,0)</f>
        <v>1.0200000000000001E-2</v>
      </c>
      <c r="Q21" s="203">
        <f>VLOOKUP(CONCATENATE(I$11,"-",M21),$C$2:$G$52,4,0)</f>
        <v>1.11E-2</v>
      </c>
      <c r="R21" s="203">
        <f>VLOOKUP(CONCATENATE(I$11,"-",M21),$C$2:$G$52,5,0)</f>
        <v>1.21E-2</v>
      </c>
    </row>
    <row r="22" spans="1:18" x14ac:dyDescent="0.25">
      <c r="A22" s="191" t="str">
        <f>A21</f>
        <v>Construção e Manutenção de Estações e Redes de Distribuição de Energia Elétrica</v>
      </c>
      <c r="B22" s="192" t="s">
        <v>223</v>
      </c>
      <c r="C22" s="191" t="str">
        <f t="shared" si="1"/>
        <v>Construção e Manutenção de Estações e Redes de Distribuição de Energia Elétrica-SG</v>
      </c>
      <c r="E22" s="193">
        <v>2.5000000000000001E-3</v>
      </c>
      <c r="F22" s="193">
        <v>5.1000000000000004E-3</v>
      </c>
      <c r="G22" s="193">
        <v>5.5999999999999999E-3</v>
      </c>
      <c r="H22" s="189"/>
      <c r="I22" s="370" t="str">
        <f>IF($I$11=$A$61,"Margem bruta da empresa de consultoria","Lucro")</f>
        <v>Lucro</v>
      </c>
      <c r="J22" s="370"/>
      <c r="K22" s="370"/>
      <c r="L22" s="370"/>
      <c r="M22" s="200" t="str">
        <f>IF($I$11=$A$61,"K3","L")</f>
        <v>L</v>
      </c>
      <c r="N22" s="201">
        <v>8.6599999999999996E-2</v>
      </c>
      <c r="O22" s="202" t="s">
        <v>249</v>
      </c>
      <c r="P22" s="203">
        <f>VLOOKUP(CONCATENATE(I$11,"-",M22),$C$2:$G$52,3,0)</f>
        <v>6.6400000000000001E-2</v>
      </c>
      <c r="Q22" s="203">
        <f>VLOOKUP(CONCATENATE(I$11,"-",M22),$C$2:$G$52,4,0)</f>
        <v>7.2999999999999995E-2</v>
      </c>
      <c r="R22" s="203">
        <f>VLOOKUP(CONCATENATE(I$11,"-",M22),$C$2:$G$52,5,0)</f>
        <v>8.6900000000000005E-2</v>
      </c>
    </row>
    <row r="23" spans="1:18" x14ac:dyDescent="0.25">
      <c r="A23" s="191" t="str">
        <f>A22</f>
        <v>Construção e Manutenção de Estações e Redes de Distribuição de Energia Elétrica</v>
      </c>
      <c r="B23" s="192" t="s">
        <v>224</v>
      </c>
      <c r="C23" s="191" t="str">
        <f t="shared" si="1"/>
        <v>Construção e Manutenção de Estações e Redes de Distribuição de Energia Elétrica-R</v>
      </c>
      <c r="E23" s="193">
        <v>0.01</v>
      </c>
      <c r="F23" s="193">
        <v>1.4800000000000001E-2</v>
      </c>
      <c r="G23" s="193">
        <v>1.9699999999999999E-2</v>
      </c>
      <c r="H23" s="189"/>
      <c r="I23" s="378" t="s">
        <v>251</v>
      </c>
      <c r="J23" s="378"/>
      <c r="K23" s="378"/>
      <c r="L23" s="378"/>
      <c r="M23" s="200" t="s">
        <v>252</v>
      </c>
      <c r="N23" s="201">
        <v>3.6499999999999998E-2</v>
      </c>
      <c r="O23" s="202" t="s">
        <v>249</v>
      </c>
      <c r="P23" s="203">
        <v>3.6499999999999998E-2</v>
      </c>
      <c r="Q23" s="203">
        <v>3.6499999999999998E-2</v>
      </c>
      <c r="R23" s="203">
        <v>3.6499999999999998E-2</v>
      </c>
    </row>
    <row r="24" spans="1:18" x14ac:dyDescent="0.25">
      <c r="A24" s="191" t="str">
        <f>A23</f>
        <v>Construção e Manutenção de Estações e Redes de Distribuição de Energia Elétrica</v>
      </c>
      <c r="B24" s="192" t="s">
        <v>227</v>
      </c>
      <c r="C24" s="191" t="str">
        <f t="shared" si="1"/>
        <v>Construção e Manutenção de Estações e Redes de Distribuição de Energia Elétrica-DF</v>
      </c>
      <c r="E24" s="193">
        <v>1.01E-2</v>
      </c>
      <c r="F24" s="193">
        <v>1.0699999999999999E-2</v>
      </c>
      <c r="G24" s="193">
        <v>1.11E-2</v>
      </c>
      <c r="H24" s="189"/>
      <c r="I24" s="370" t="s">
        <v>253</v>
      </c>
      <c r="J24" s="370"/>
      <c r="K24" s="370"/>
      <c r="L24" s="370"/>
      <c r="M24" s="200" t="s">
        <v>254</v>
      </c>
      <c r="N24" s="203">
        <v>6.0000000000000001E-3</v>
      </c>
      <c r="O24" s="202" t="s">
        <v>249</v>
      </c>
      <c r="P24" s="203">
        <v>0</v>
      </c>
      <c r="Q24" s="203">
        <v>2.5000000000000001E-2</v>
      </c>
      <c r="R24" s="203">
        <v>0.05</v>
      </c>
    </row>
    <row r="25" spans="1:18" x14ac:dyDescent="0.25">
      <c r="A25" s="191" t="str">
        <f>A24</f>
        <v>Construção e Manutenção de Estações e Redes de Distribuição de Energia Elétrica</v>
      </c>
      <c r="B25" s="192" t="s">
        <v>230</v>
      </c>
      <c r="C25" s="191" t="str">
        <f t="shared" si="1"/>
        <v>Construção e Manutenção de Estações e Redes de Distribuição de Energia Elétrica-L</v>
      </c>
      <c r="E25" s="193">
        <v>0.08</v>
      </c>
      <c r="F25" s="193">
        <v>8.3099999999999993E-2</v>
      </c>
      <c r="G25" s="193">
        <v>9.5100000000000004E-2</v>
      </c>
      <c r="H25" s="189"/>
      <c r="I25" s="370" t="s">
        <v>255</v>
      </c>
      <c r="J25" s="370"/>
      <c r="K25" s="370"/>
      <c r="L25" s="370"/>
      <c r="M25" s="200" t="s">
        <v>256</v>
      </c>
      <c r="N25" s="203">
        <f>IF(Q11="Sim",0.045,0)</f>
        <v>0</v>
      </c>
      <c r="O25" s="202" t="str">
        <f>IF(AND(N25&gt;=P25, N25&lt;=R25), "OK", "Não OK")</f>
        <v>OK</v>
      </c>
      <c r="P25" s="204">
        <v>0</v>
      </c>
      <c r="Q25" s="204">
        <v>4.4999999999999998E-2</v>
      </c>
      <c r="R25" s="204">
        <v>4.4999999999999998E-2</v>
      </c>
    </row>
    <row r="26" spans="1:18" ht="28.5" x14ac:dyDescent="0.25">
      <c r="A26" s="191" t="str">
        <f>A25</f>
        <v>Construção e Manutenção de Estações e Redes de Distribuição de Energia Elétrica</v>
      </c>
      <c r="B26" s="196" t="s">
        <v>231</v>
      </c>
      <c r="C26" s="191" t="str">
        <f t="shared" si="1"/>
        <v>Construção e Manutenção de Estações e Redes de Distribuição de Energia Elétrica-BDI PAD</v>
      </c>
      <c r="E26" s="193">
        <v>0.24</v>
      </c>
      <c r="F26" s="193">
        <v>0.25840000000000002</v>
      </c>
      <c r="G26" s="193">
        <v>0.27860000000000001</v>
      </c>
      <c r="H26" s="189"/>
      <c r="I26" s="370" t="s">
        <v>257</v>
      </c>
      <c r="J26" s="370"/>
      <c r="K26" s="370"/>
      <c r="L26" s="370"/>
      <c r="M26" s="205" t="s">
        <v>231</v>
      </c>
      <c r="N26" s="203">
        <f>ROUND((((1+N18+N19+N20)*(1+N21)*(1+N22)/(1-(N23+N24)))-1),4)</f>
        <v>0.2218</v>
      </c>
      <c r="O26" s="202" t="str">
        <f>IF(OR($I$11=$A$61,AND(N26&gt;=P26, N26&lt;=R26)), "OK", "NÃO OK")</f>
        <v>OK</v>
      </c>
      <c r="P26" s="203">
        <f>VLOOKUP(CONCATENATE($I$11,"-",$M26),$C$2:$G$52,3,0)</f>
        <v>0.19600000000000001</v>
      </c>
      <c r="Q26" s="203">
        <f>VLOOKUP(CONCATENATE($I$11,"-",$M26),$C$2:$G$52,4,0)</f>
        <v>0.2097</v>
      </c>
      <c r="R26" s="203">
        <f>VLOOKUP(CONCATENATE($I$11,"-",$M26),$C$2:$G$52,5,0)</f>
        <v>0.24229999999999999</v>
      </c>
    </row>
    <row r="27" spans="1:18" ht="28.5" x14ac:dyDescent="0.25">
      <c r="A27" s="191" t="s">
        <v>258</v>
      </c>
      <c r="B27" s="192" t="s">
        <v>221</v>
      </c>
      <c r="C27" s="191" t="str">
        <f t="shared" si="1"/>
        <v>Obras Portuárias, Marítimas e Fluviais-AC</v>
      </c>
      <c r="E27" s="193">
        <v>0.04</v>
      </c>
      <c r="F27" s="193">
        <v>5.5199999999999999E-2</v>
      </c>
      <c r="G27" s="193">
        <v>7.85E-2</v>
      </c>
      <c r="H27" s="189"/>
      <c r="I27" s="371" t="s">
        <v>259</v>
      </c>
      <c r="J27" s="371"/>
      <c r="K27" s="371"/>
      <c r="L27" s="371"/>
      <c r="M27" s="206" t="s">
        <v>260</v>
      </c>
      <c r="N27" s="207">
        <f>ROUND((((1+N18+N19+N20)*(1+N21)*(1+N22)/(1-(N23+N24+N25)))-1),4)</f>
        <v>0.2218</v>
      </c>
      <c r="O27" s="202" t="str">
        <f>IF(Q11&lt;&gt;"Sim","",IF(COUNTIF($O$18:$O$26,"NÃO OK")&gt;0,"NÃO OK","OK"))</f>
        <v/>
      </c>
      <c r="P27" s="372"/>
      <c r="Q27" s="372"/>
      <c r="R27" s="372"/>
    </row>
    <row r="28" spans="1:18" x14ac:dyDescent="0.25">
      <c r="A28" s="191" t="str">
        <f>A27</f>
        <v>Obras Portuárias, Marítimas e Fluviais</v>
      </c>
      <c r="B28" s="192" t="s">
        <v>223</v>
      </c>
      <c r="C28" s="191" t="str">
        <f t="shared" si="1"/>
        <v>Obras Portuárias, Marítimas e Fluviais-SG</v>
      </c>
      <c r="E28" s="193">
        <v>8.0999999999999996E-3</v>
      </c>
      <c r="F28" s="193">
        <v>1.2200000000000001E-2</v>
      </c>
      <c r="G28" s="193">
        <v>1.9900000000000001E-2</v>
      </c>
      <c r="H28" s="189"/>
    </row>
    <row r="29" spans="1:18" x14ac:dyDescent="0.25">
      <c r="A29" s="191" t="str">
        <f>A28</f>
        <v>Obras Portuárias, Marítimas e Fluviais</v>
      </c>
      <c r="B29" s="192" t="s">
        <v>224</v>
      </c>
      <c r="C29" s="191" t="str">
        <f t="shared" si="1"/>
        <v>Obras Portuárias, Marítimas e Fluviais-R</v>
      </c>
      <c r="E29" s="193">
        <v>1.46E-2</v>
      </c>
      <c r="F29" s="193">
        <v>2.3199999999999998E-2</v>
      </c>
      <c r="G29" s="193">
        <v>3.1600000000000003E-2</v>
      </c>
      <c r="H29" s="189"/>
      <c r="I29" s="373" t="s">
        <v>261</v>
      </c>
      <c r="J29" s="373"/>
      <c r="K29" s="373"/>
      <c r="L29" s="373"/>
      <c r="M29" s="373"/>
      <c r="N29" s="373"/>
      <c r="O29" s="373"/>
      <c r="P29" s="373"/>
      <c r="Q29" s="373"/>
      <c r="R29" s="373"/>
    </row>
    <row r="30" spans="1:18" ht="15.75" x14ac:dyDescent="0.25">
      <c r="B30" s="192"/>
      <c r="E30" s="193"/>
      <c r="F30" s="193"/>
      <c r="G30" s="193"/>
      <c r="H30" s="189"/>
      <c r="I30" s="208"/>
      <c r="J30" s="208"/>
      <c r="K30" s="208"/>
      <c r="L30" s="374" t="str">
        <f>IF(Q11="Sim","BDI.DES =","BDI.PAD =")</f>
        <v>BDI.PAD =</v>
      </c>
      <c r="M30" s="375" t="str">
        <f>IF($I$11=$A$61,"(1+K1+K2)*(1+K3)","(1+AC + S + R + G)*(1 + DF)*(1+L)")</f>
        <v>(1+AC + S + R + G)*(1 + DF)*(1+L)</v>
      </c>
      <c r="N30" s="375"/>
      <c r="O30" s="375"/>
      <c r="P30" s="376" t="s">
        <v>262</v>
      </c>
      <c r="Q30" s="208"/>
      <c r="R30" s="208"/>
    </row>
    <row r="31" spans="1:18" ht="15.75" x14ac:dyDescent="0.25">
      <c r="B31" s="192"/>
      <c r="E31" s="193"/>
      <c r="F31" s="193"/>
      <c r="G31" s="193"/>
      <c r="H31" s="189"/>
      <c r="I31" s="208"/>
      <c r="J31" s="208"/>
      <c r="K31" s="208"/>
      <c r="L31" s="374"/>
      <c r="M31" s="377" t="str">
        <f>IF(Q11="Sim","(1-CP-ISS-CRPB)","(1-CP-ISS)")</f>
        <v>(1-CP-ISS)</v>
      </c>
      <c r="N31" s="377"/>
      <c r="O31" s="377"/>
      <c r="P31" s="376"/>
      <c r="Q31" s="208"/>
      <c r="R31" s="208"/>
    </row>
    <row r="32" spans="1:18" x14ac:dyDescent="0.25">
      <c r="A32" s="191" t="str">
        <f>A29</f>
        <v>Obras Portuárias, Marítimas e Fluviais</v>
      </c>
      <c r="B32" s="192" t="s">
        <v>227</v>
      </c>
      <c r="C32" s="191" t="str">
        <f>CONCATENATE(A32,"-",B32)</f>
        <v>Obras Portuárias, Marítimas e Fluviais-DF</v>
      </c>
      <c r="E32" s="193">
        <v>9.4000000000000004E-3</v>
      </c>
      <c r="F32" s="193">
        <v>1.0200000000000001E-2</v>
      </c>
      <c r="G32" s="193">
        <v>1.3299999999999999E-2</v>
      </c>
      <c r="H32" s="189"/>
      <c r="I32" s="209"/>
      <c r="J32" s="209"/>
      <c r="K32" s="209"/>
      <c r="L32" s="209"/>
      <c r="M32" s="209"/>
      <c r="N32" s="209"/>
      <c r="O32" s="209"/>
      <c r="P32" s="209"/>
      <c r="Q32" s="209"/>
      <c r="R32" s="209"/>
    </row>
    <row r="33" spans="1:18" x14ac:dyDescent="0.25">
      <c r="A33" s="191" t="str">
        <f>A32</f>
        <v>Obras Portuárias, Marítimas e Fluviais</v>
      </c>
      <c r="B33" s="192" t="s">
        <v>230</v>
      </c>
      <c r="C33" s="191" t="str">
        <f>CONCATENATE(A33,"-",B33)</f>
        <v>Obras Portuárias, Marítimas e Fluviais-L</v>
      </c>
      <c r="E33" s="193">
        <v>7.1400000000000005E-2</v>
      </c>
      <c r="F33" s="193">
        <v>8.4000000000000005E-2</v>
      </c>
      <c r="G33" s="193">
        <v>0.1043</v>
      </c>
      <c r="H33" s="189"/>
      <c r="I33" s="369" t="s">
        <v>263</v>
      </c>
      <c r="J33" s="369"/>
      <c r="K33" s="369"/>
      <c r="L33" s="369"/>
      <c r="M33" s="369"/>
      <c r="N33" s="369"/>
      <c r="O33" s="369"/>
      <c r="P33" s="369"/>
      <c r="Q33" s="369"/>
      <c r="R33" s="369"/>
    </row>
    <row r="34" spans="1:18" x14ac:dyDescent="0.25">
      <c r="A34" s="191"/>
      <c r="B34" s="192"/>
      <c r="C34" s="191"/>
      <c r="E34" s="193"/>
      <c r="F34" s="193"/>
      <c r="G34" s="193"/>
      <c r="H34" s="189"/>
      <c r="I34" s="210"/>
      <c r="J34" s="210"/>
      <c r="K34" s="210"/>
      <c r="L34" s="210"/>
      <c r="M34" s="210"/>
      <c r="N34" s="210"/>
      <c r="O34" s="210"/>
      <c r="P34" s="210"/>
      <c r="Q34" s="210"/>
      <c r="R34" s="210"/>
    </row>
    <row r="35" spans="1:18" x14ac:dyDescent="0.25">
      <c r="A35" s="191"/>
      <c r="B35" s="192"/>
      <c r="C35" s="191"/>
      <c r="E35" s="193"/>
      <c r="F35" s="193"/>
      <c r="G35" s="193"/>
      <c r="H35" s="189"/>
      <c r="I35" s="369" t="s">
        <v>264</v>
      </c>
      <c r="J35" s="369"/>
      <c r="K35" s="369"/>
      <c r="L35" s="369"/>
      <c r="M35" s="369"/>
      <c r="N35" s="369"/>
      <c r="O35" s="369"/>
      <c r="P35" s="369"/>
      <c r="Q35" s="369"/>
      <c r="R35" s="369"/>
    </row>
    <row r="36" spans="1:18" x14ac:dyDescent="0.25">
      <c r="A36" s="191"/>
      <c r="B36" s="192"/>
      <c r="C36" s="191"/>
      <c r="E36" s="193"/>
      <c r="F36" s="193"/>
      <c r="G36" s="193"/>
      <c r="H36" s="189"/>
      <c r="I36" s="210"/>
      <c r="J36" s="210"/>
      <c r="K36" s="210"/>
      <c r="L36" s="210"/>
      <c r="M36" s="210"/>
      <c r="N36" s="210"/>
      <c r="O36" s="210"/>
      <c r="P36" s="210"/>
      <c r="Q36" s="210"/>
      <c r="R36" s="210"/>
    </row>
    <row r="37" spans="1:18" x14ac:dyDescent="0.25">
      <c r="A37" s="191" t="str">
        <f>A33</f>
        <v>Obras Portuárias, Marítimas e Fluviais</v>
      </c>
      <c r="B37" s="196" t="s">
        <v>231</v>
      </c>
      <c r="C37" s="191" t="str">
        <f>CONCATENATE(A37,"-",B37)</f>
        <v>Obras Portuárias, Marítimas e Fluviais-BDI PAD</v>
      </c>
      <c r="E37" s="193">
        <v>0.22800000000000001</v>
      </c>
      <c r="F37" s="193">
        <v>0.27479999999999999</v>
      </c>
      <c r="G37" s="193">
        <v>0.3095</v>
      </c>
      <c r="H37" s="189"/>
    </row>
    <row r="38" spans="1:18" x14ac:dyDescent="0.25">
      <c r="B38" s="196"/>
      <c r="E38" s="193"/>
      <c r="F38" s="193"/>
      <c r="G38" s="193"/>
      <c r="H38" s="189"/>
      <c r="I38" s="191" t="s">
        <v>265</v>
      </c>
    </row>
    <row r="39" spans="1:18" x14ac:dyDescent="0.25">
      <c r="B39" s="196"/>
      <c r="E39" s="193"/>
      <c r="F39" s="193"/>
      <c r="G39" s="193"/>
      <c r="H39" s="189"/>
      <c r="I39" s="365"/>
      <c r="J39" s="365"/>
      <c r="K39" s="365"/>
      <c r="L39" s="365"/>
      <c r="M39" s="365"/>
      <c r="N39" s="365"/>
      <c r="O39" s="365"/>
      <c r="P39" s="365"/>
      <c r="Q39" s="365"/>
      <c r="R39" s="365"/>
    </row>
    <row r="40" spans="1:18" x14ac:dyDescent="0.25">
      <c r="B40" s="196"/>
      <c r="E40" s="193"/>
      <c r="F40" s="193"/>
      <c r="G40" s="193"/>
      <c r="H40" s="189"/>
    </row>
    <row r="41" spans="1:18" x14ac:dyDescent="0.25">
      <c r="A41" s="191" t="s">
        <v>266</v>
      </c>
      <c r="B41" s="192" t="s">
        <v>221</v>
      </c>
      <c r="C41" s="191" t="str">
        <f t="shared" ref="C41:C49" si="2">CONCATENATE(A41,"-",B41)</f>
        <v>Fornecimento de Materiais e Equipamentos-AC</v>
      </c>
      <c r="E41" s="193">
        <v>1.4999999999999999E-2</v>
      </c>
      <c r="F41" s="193">
        <v>3.4500000000000003E-2</v>
      </c>
      <c r="G41" s="193">
        <v>4.4900000000000002E-2</v>
      </c>
      <c r="H41" s="189"/>
      <c r="I41" s="366" t="s">
        <v>267</v>
      </c>
      <c r="J41" s="366"/>
      <c r="K41" s="366"/>
      <c r="L41" s="366"/>
      <c r="R41" s="211" t="s">
        <v>268</v>
      </c>
    </row>
    <row r="42" spans="1:18" x14ac:dyDescent="0.25">
      <c r="A42" s="191" t="str">
        <f>A41</f>
        <v>Fornecimento de Materiais e Equipamentos</v>
      </c>
      <c r="B42" s="192" t="s">
        <v>223</v>
      </c>
      <c r="C42" s="191" t="str">
        <f t="shared" si="2"/>
        <v>Fornecimento de Materiais e Equipamentos-SG</v>
      </c>
      <c r="E42" s="193">
        <v>3.0000000000000001E-3</v>
      </c>
      <c r="F42" s="193">
        <v>4.7999999999999996E-3</v>
      </c>
      <c r="G42" s="193">
        <v>8.2000000000000007E-3</v>
      </c>
      <c r="H42" s="189"/>
      <c r="I42" s="362" t="s">
        <v>277</v>
      </c>
      <c r="J42" s="362"/>
      <c r="K42" s="362"/>
      <c r="L42" s="362"/>
      <c r="N42" s="212"/>
      <c r="P42" s="367" t="s">
        <v>278</v>
      </c>
      <c r="Q42" s="367"/>
      <c r="R42" s="367"/>
    </row>
    <row r="43" spans="1:18" x14ac:dyDescent="0.25">
      <c r="A43" s="191" t="str">
        <f>A42</f>
        <v>Fornecimento de Materiais e Equipamentos</v>
      </c>
      <c r="B43" s="192" t="s">
        <v>224</v>
      </c>
      <c r="C43" s="191" t="str">
        <f t="shared" si="2"/>
        <v>Fornecimento de Materiais e Equipamentos-R</v>
      </c>
      <c r="E43" s="193">
        <v>5.5999999999999999E-3</v>
      </c>
      <c r="F43" s="193">
        <v>8.5000000000000006E-3</v>
      </c>
      <c r="G43" s="193">
        <v>8.8999999999999999E-3</v>
      </c>
      <c r="H43" s="189"/>
    </row>
    <row r="44" spans="1:18" x14ac:dyDescent="0.25">
      <c r="A44" s="191" t="str">
        <f>A43</f>
        <v>Fornecimento de Materiais e Equipamentos</v>
      </c>
      <c r="B44" s="192" t="s">
        <v>227</v>
      </c>
      <c r="C44" s="191" t="str">
        <f t="shared" si="2"/>
        <v>Fornecimento de Materiais e Equipamentos-DF</v>
      </c>
      <c r="E44" s="193">
        <v>8.5000000000000006E-3</v>
      </c>
      <c r="F44" s="193">
        <v>8.5000000000000006E-3</v>
      </c>
      <c r="G44" s="193">
        <v>1.11E-2</v>
      </c>
      <c r="H44" s="189"/>
      <c r="I44" s="368"/>
      <c r="J44" s="368"/>
      <c r="K44" s="368"/>
      <c r="L44" s="368"/>
      <c r="M44" s="213"/>
      <c r="N44" s="213"/>
      <c r="O44" s="368"/>
      <c r="P44" s="368"/>
      <c r="Q44" s="368"/>
      <c r="R44" s="368"/>
    </row>
    <row r="45" spans="1:18" x14ac:dyDescent="0.25">
      <c r="A45" s="191" t="str">
        <f>A44</f>
        <v>Fornecimento de Materiais e Equipamentos</v>
      </c>
      <c r="B45" s="192" t="s">
        <v>230</v>
      </c>
      <c r="C45" s="191" t="str">
        <f t="shared" si="2"/>
        <v>Fornecimento de Materiais e Equipamentos-L</v>
      </c>
      <c r="E45" s="193">
        <v>3.5000000000000003E-2</v>
      </c>
      <c r="F45" s="193">
        <v>5.11E-2</v>
      </c>
      <c r="G45" s="193">
        <v>6.2199999999999998E-2</v>
      </c>
      <c r="H45" s="189"/>
      <c r="I45" s="363" t="s">
        <v>269</v>
      </c>
      <c r="J45" s="363"/>
      <c r="K45" s="363"/>
      <c r="L45" s="363"/>
      <c r="M45" s="214"/>
      <c r="N45" s="214"/>
      <c r="O45" s="363" t="s">
        <v>276</v>
      </c>
      <c r="P45" s="363"/>
      <c r="Q45" s="363"/>
      <c r="R45" s="363"/>
    </row>
    <row r="46" spans="1:18" x14ac:dyDescent="0.25">
      <c r="A46" s="191" t="str">
        <f>A45</f>
        <v>Fornecimento de Materiais e Equipamentos</v>
      </c>
      <c r="B46" s="196" t="s">
        <v>231</v>
      </c>
      <c r="C46" s="191" t="str">
        <f t="shared" si="2"/>
        <v>Fornecimento de Materiais e Equipamentos-BDI PAD</v>
      </c>
      <c r="E46" s="193">
        <v>0.111</v>
      </c>
      <c r="F46" s="193">
        <v>0.14019999999999999</v>
      </c>
      <c r="G46" s="193">
        <v>0.16800000000000001</v>
      </c>
      <c r="H46" s="189"/>
      <c r="I46" s="215" t="s">
        <v>270</v>
      </c>
      <c r="J46" s="362" t="s">
        <v>433</v>
      </c>
      <c r="K46" s="362"/>
      <c r="L46" s="362"/>
      <c r="M46" s="216"/>
      <c r="N46" s="216"/>
      <c r="O46" s="364"/>
      <c r="P46" s="364"/>
      <c r="Q46" s="364"/>
      <c r="R46" s="364"/>
    </row>
    <row r="47" spans="1:18" x14ac:dyDescent="0.25">
      <c r="A47" s="191" t="s">
        <v>271</v>
      </c>
      <c r="B47" s="192" t="s">
        <v>272</v>
      </c>
      <c r="C47" s="191" t="str">
        <f t="shared" si="2"/>
        <v>Estudos e Projetos, Planos e Gerenciamento e outros correlatos-K1</v>
      </c>
      <c r="E47" s="193" t="s">
        <v>249</v>
      </c>
      <c r="F47" s="193" t="s">
        <v>249</v>
      </c>
      <c r="G47" s="193" t="s">
        <v>249</v>
      </c>
      <c r="H47" s="189"/>
      <c r="I47" s="215" t="s">
        <v>273</v>
      </c>
      <c r="J47" s="362" t="s">
        <v>434</v>
      </c>
      <c r="K47" s="362"/>
      <c r="L47" s="362"/>
      <c r="M47" s="216"/>
      <c r="N47" s="216"/>
      <c r="O47" s="364"/>
      <c r="P47" s="364"/>
      <c r="Q47" s="364"/>
      <c r="R47" s="364"/>
    </row>
    <row r="48" spans="1:18" x14ac:dyDescent="0.25">
      <c r="A48" s="191" t="str">
        <f>A47</f>
        <v>Estudos e Projetos, Planos e Gerenciamento e outros correlatos</v>
      </c>
      <c r="B48" s="192" t="s">
        <v>274</v>
      </c>
      <c r="C48" s="191" t="str">
        <f t="shared" si="2"/>
        <v>Estudos e Projetos, Planos e Gerenciamento e outros correlatos-K2</v>
      </c>
      <c r="E48" s="193" t="s">
        <v>249</v>
      </c>
      <c r="F48" s="193">
        <v>0.2</v>
      </c>
      <c r="G48" s="193" t="s">
        <v>249</v>
      </c>
      <c r="H48" s="189"/>
      <c r="I48" s="215" t="s">
        <v>275</v>
      </c>
      <c r="J48" s="362" t="s">
        <v>213</v>
      </c>
      <c r="K48" s="362"/>
      <c r="L48" s="362"/>
      <c r="M48" s="216"/>
      <c r="N48" s="216"/>
      <c r="O48" s="216"/>
      <c r="P48" s="216"/>
      <c r="Q48" s="216"/>
      <c r="R48" s="216"/>
    </row>
    <row r="49" spans="1:18" x14ac:dyDescent="0.25">
      <c r="A49" s="191" t="str">
        <f>A48</f>
        <v>Estudos e Projetos, Planos e Gerenciamento e outros correlatos</v>
      </c>
      <c r="B49" s="192"/>
      <c r="C49" s="191" t="str">
        <f t="shared" si="2"/>
        <v>Estudos e Projetos, Planos e Gerenciamento e outros correlatos-</v>
      </c>
      <c r="E49" s="193" t="s">
        <v>249</v>
      </c>
      <c r="F49" s="193" t="s">
        <v>249</v>
      </c>
      <c r="G49" s="193" t="s">
        <v>249</v>
      </c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</row>
  </sheetData>
  <mergeCells count="52">
    <mergeCell ref="Q1:R1"/>
    <mergeCell ref="Q2:R2"/>
    <mergeCell ref="I4:J4"/>
    <mergeCell ref="K4:R4"/>
    <mergeCell ref="I5:J5"/>
    <mergeCell ref="K5:R5"/>
    <mergeCell ref="I7:R7"/>
    <mergeCell ref="I8:R8"/>
    <mergeCell ref="I10:P10"/>
    <mergeCell ref="Q10:R10"/>
    <mergeCell ref="I11:P11"/>
    <mergeCell ref="Q11:R11"/>
    <mergeCell ref="I23:L23"/>
    <mergeCell ref="I13:P13"/>
    <mergeCell ref="Q13:R13"/>
    <mergeCell ref="I14:P14"/>
    <mergeCell ref="Q14:R14"/>
    <mergeCell ref="I16:L17"/>
    <mergeCell ref="M16:M17"/>
    <mergeCell ref="N16:N17"/>
    <mergeCell ref="O16:O17"/>
    <mergeCell ref="P16:R16"/>
    <mergeCell ref="I18:L18"/>
    <mergeCell ref="I19:L19"/>
    <mergeCell ref="I20:L20"/>
    <mergeCell ref="I21:L21"/>
    <mergeCell ref="I22:L22"/>
    <mergeCell ref="I35:R35"/>
    <mergeCell ref="I24:L24"/>
    <mergeCell ref="I25:L25"/>
    <mergeCell ref="I26:L26"/>
    <mergeCell ref="I27:L27"/>
    <mergeCell ref="P27:R27"/>
    <mergeCell ref="I29:R29"/>
    <mergeCell ref="L30:L31"/>
    <mergeCell ref="M30:O30"/>
    <mergeCell ref="P30:P31"/>
    <mergeCell ref="M31:O31"/>
    <mergeCell ref="I33:R33"/>
    <mergeCell ref="I39:R39"/>
    <mergeCell ref="I41:L41"/>
    <mergeCell ref="I42:L42"/>
    <mergeCell ref="P42:R42"/>
    <mergeCell ref="I44:L44"/>
    <mergeCell ref="O44:R44"/>
    <mergeCell ref="J48:L48"/>
    <mergeCell ref="I45:L45"/>
    <mergeCell ref="O45:R45"/>
    <mergeCell ref="J46:L46"/>
    <mergeCell ref="O46:R46"/>
    <mergeCell ref="J47:L47"/>
    <mergeCell ref="O47:R47"/>
  </mergeCells>
  <dataValidations count="7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>
      <formula1>0</formula1>
      <formula2>0</formula2>
    </dataValidation>
    <dataValidation type="list" allowBlank="1" showInputMessage="1" showErrorMessage="1" sqref="I11:P11">
      <formula1>$A$55:$A$61</formula1>
      <formula2>0</formula2>
    </dataValidation>
    <dataValidation type="list" allowBlank="1" showInputMessage="1" showErrorMessage="1" sqref="Q11:R11">
      <formula1>"Sim,Não"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view="pageBreakPreview" topLeftCell="A88" zoomScaleNormal="100" zoomScaleSheetLayoutView="100" workbookViewId="0">
      <selection activeCell="B66" sqref="B66"/>
    </sheetView>
  </sheetViews>
  <sheetFormatPr defaultRowHeight="15" x14ac:dyDescent="0.25"/>
  <cols>
    <col min="1" max="1" width="15.140625" customWidth="1"/>
    <col min="2" max="2" width="12.7109375" customWidth="1"/>
    <col min="3" max="3" width="83" customWidth="1"/>
    <col min="5" max="5" width="12.28515625" customWidth="1"/>
    <col min="6" max="6" width="12.42578125" customWidth="1"/>
    <col min="7" max="7" width="15.7109375" bestFit="1" customWidth="1"/>
  </cols>
  <sheetData>
    <row r="1" spans="1:7" ht="36" customHeight="1" x14ac:dyDescent="0.25">
      <c r="A1" s="36" t="s">
        <v>279</v>
      </c>
      <c r="B1" s="37">
        <v>1</v>
      </c>
      <c r="C1" s="38" t="s">
        <v>174</v>
      </c>
      <c r="D1" s="37" t="s">
        <v>71</v>
      </c>
      <c r="E1" s="77" t="s">
        <v>72</v>
      </c>
      <c r="F1" s="40" t="s">
        <v>73</v>
      </c>
      <c r="G1" s="41" t="s">
        <v>74</v>
      </c>
    </row>
    <row r="2" spans="1:7" ht="36" x14ac:dyDescent="0.25">
      <c r="A2" s="42" t="s">
        <v>75</v>
      </c>
      <c r="B2" s="43" t="s">
        <v>79</v>
      </c>
      <c r="C2" s="44" t="s">
        <v>80</v>
      </c>
      <c r="D2" s="43" t="s">
        <v>81</v>
      </c>
      <c r="E2" s="39" t="s">
        <v>175</v>
      </c>
      <c r="F2" s="39">
        <v>392.62</v>
      </c>
      <c r="G2" s="46">
        <f>E2*F2</f>
        <v>12.995721999999999</v>
      </c>
    </row>
    <row r="3" spans="1:7" ht="36" customHeight="1" x14ac:dyDescent="0.25">
      <c r="A3" s="42" t="s">
        <v>75</v>
      </c>
      <c r="B3" s="43" t="s">
        <v>83</v>
      </c>
      <c r="C3" s="44" t="s">
        <v>84</v>
      </c>
      <c r="D3" s="43" t="s">
        <v>85</v>
      </c>
      <c r="E3" s="39" t="s">
        <v>176</v>
      </c>
      <c r="F3" s="39">
        <v>143.91</v>
      </c>
      <c r="G3" s="46">
        <f t="shared" ref="G3:G12" si="0">E3*F3</f>
        <v>9.7570979999999992</v>
      </c>
    </row>
    <row r="4" spans="1:7" ht="36" customHeight="1" x14ac:dyDescent="0.25">
      <c r="A4" s="42" t="s">
        <v>75</v>
      </c>
      <c r="B4" s="43">
        <v>101020</v>
      </c>
      <c r="C4" s="44" t="s">
        <v>177</v>
      </c>
      <c r="D4" s="43" t="s">
        <v>77</v>
      </c>
      <c r="E4" s="39" t="s">
        <v>78</v>
      </c>
      <c r="F4" s="39">
        <f>G30</f>
        <v>463.35694200000006</v>
      </c>
      <c r="G4" s="46">
        <f t="shared" si="0"/>
        <v>1183.7843154216002</v>
      </c>
    </row>
    <row r="5" spans="1:7" ht="20.100000000000001" customHeight="1" x14ac:dyDescent="0.25">
      <c r="A5" s="42" t="s">
        <v>75</v>
      </c>
      <c r="B5" s="43" t="s">
        <v>87</v>
      </c>
      <c r="C5" s="44" t="s">
        <v>88</v>
      </c>
      <c r="D5" s="43" t="s">
        <v>89</v>
      </c>
      <c r="E5" s="39" t="s">
        <v>178</v>
      </c>
      <c r="F5" s="39">
        <v>20.48</v>
      </c>
      <c r="G5" s="46">
        <f t="shared" si="0"/>
        <v>16.531456000000002</v>
      </c>
    </row>
    <row r="6" spans="1:7" ht="45.95" customHeight="1" x14ac:dyDescent="0.25">
      <c r="A6" s="42" t="s">
        <v>75</v>
      </c>
      <c r="B6" s="43" t="s">
        <v>91</v>
      </c>
      <c r="C6" s="44" t="s">
        <v>92</v>
      </c>
      <c r="D6" s="43" t="s">
        <v>81</v>
      </c>
      <c r="E6" s="39" t="s">
        <v>175</v>
      </c>
      <c r="F6" s="39">
        <v>236.92</v>
      </c>
      <c r="G6" s="46">
        <f t="shared" si="0"/>
        <v>7.8420519999999989</v>
      </c>
    </row>
    <row r="7" spans="1:7" ht="45.95" customHeight="1" x14ac:dyDescent="0.25">
      <c r="A7" s="42" t="s">
        <v>75</v>
      </c>
      <c r="B7" s="43" t="s">
        <v>93</v>
      </c>
      <c r="C7" s="44" t="s">
        <v>94</v>
      </c>
      <c r="D7" s="43" t="s">
        <v>81</v>
      </c>
      <c r="E7" s="39" t="s">
        <v>179</v>
      </c>
      <c r="F7" s="39">
        <v>205.09</v>
      </c>
      <c r="G7" s="46">
        <f t="shared" si="0"/>
        <v>11.792675000000001</v>
      </c>
    </row>
    <row r="8" spans="1:7" ht="45.95" customHeight="1" x14ac:dyDescent="0.25">
      <c r="A8" s="42" t="s">
        <v>75</v>
      </c>
      <c r="B8" s="43" t="s">
        <v>96</v>
      </c>
      <c r="C8" s="44" t="s">
        <v>97</v>
      </c>
      <c r="D8" s="43" t="s">
        <v>85</v>
      </c>
      <c r="E8" s="39" t="s">
        <v>180</v>
      </c>
      <c r="F8" s="39">
        <v>65.62</v>
      </c>
      <c r="G8" s="46">
        <f t="shared" si="0"/>
        <v>2.8479080000000003</v>
      </c>
    </row>
    <row r="9" spans="1:7" ht="45.95" customHeight="1" x14ac:dyDescent="0.25">
      <c r="A9" s="42" t="s">
        <v>75</v>
      </c>
      <c r="B9" s="43" t="s">
        <v>99</v>
      </c>
      <c r="C9" s="44" t="s">
        <v>100</v>
      </c>
      <c r="D9" s="43" t="s">
        <v>85</v>
      </c>
      <c r="E9" s="39" t="s">
        <v>181</v>
      </c>
      <c r="F9" s="39">
        <v>50.61</v>
      </c>
      <c r="G9" s="46">
        <f t="shared" si="0"/>
        <v>3.3807480000000001</v>
      </c>
    </row>
    <row r="10" spans="1:7" ht="45.95" customHeight="1" x14ac:dyDescent="0.25">
      <c r="A10" s="42" t="s">
        <v>75</v>
      </c>
      <c r="B10" s="43" t="s">
        <v>102</v>
      </c>
      <c r="C10" s="44" t="s">
        <v>103</v>
      </c>
      <c r="D10" s="43" t="s">
        <v>81</v>
      </c>
      <c r="E10" s="39" t="s">
        <v>104</v>
      </c>
      <c r="F10" s="39">
        <v>138.93</v>
      </c>
      <c r="G10" s="46">
        <f t="shared" si="0"/>
        <v>4.7375129999999999</v>
      </c>
    </row>
    <row r="11" spans="1:7" ht="45.95" customHeight="1" x14ac:dyDescent="0.25">
      <c r="A11" s="42" t="s">
        <v>75</v>
      </c>
      <c r="B11" s="43" t="s">
        <v>105</v>
      </c>
      <c r="C11" s="44" t="s">
        <v>106</v>
      </c>
      <c r="D11" s="43" t="s">
        <v>81</v>
      </c>
      <c r="E11" s="39" t="s">
        <v>182</v>
      </c>
      <c r="F11" s="39">
        <v>188.9</v>
      </c>
      <c r="G11" s="46">
        <f t="shared" si="0"/>
        <v>5.64811</v>
      </c>
    </row>
    <row r="12" spans="1:7" ht="45.95" customHeight="1" x14ac:dyDescent="0.25">
      <c r="A12" s="42" t="s">
        <v>75</v>
      </c>
      <c r="B12" s="43" t="s">
        <v>108</v>
      </c>
      <c r="C12" s="44" t="s">
        <v>109</v>
      </c>
      <c r="D12" s="43" t="s">
        <v>85</v>
      </c>
      <c r="E12" s="39" t="s">
        <v>183</v>
      </c>
      <c r="F12" s="39">
        <v>70.36</v>
      </c>
      <c r="G12" s="46">
        <f t="shared" si="0"/>
        <v>4.9955599999999993</v>
      </c>
    </row>
    <row r="13" spans="1:7" ht="15.75" thickBot="1" x14ac:dyDescent="0.3">
      <c r="A13" s="394" t="s">
        <v>111</v>
      </c>
      <c r="B13" s="395"/>
      <c r="C13" s="395"/>
      <c r="D13" s="395"/>
      <c r="E13" s="395"/>
      <c r="F13" s="396"/>
      <c r="G13" s="47">
        <f>SUM(G2:G12)</f>
        <v>1264.3131574216002</v>
      </c>
    </row>
    <row r="14" spans="1:7" ht="15.75" thickBot="1" x14ac:dyDescent="0.3"/>
    <row r="15" spans="1:7" ht="45.95" customHeight="1" x14ac:dyDescent="0.25">
      <c r="A15" s="36" t="s">
        <v>184</v>
      </c>
      <c r="B15" s="37" t="s">
        <v>185</v>
      </c>
      <c r="C15" s="38" t="s">
        <v>186</v>
      </c>
      <c r="D15" s="37" t="s">
        <v>77</v>
      </c>
      <c r="E15" s="77" t="s">
        <v>72</v>
      </c>
      <c r="F15" s="40" t="s">
        <v>73</v>
      </c>
      <c r="G15" s="41" t="s">
        <v>74</v>
      </c>
    </row>
    <row r="16" spans="1:7" ht="36" customHeight="1" x14ac:dyDescent="0.25">
      <c r="A16" s="42" t="s">
        <v>115</v>
      </c>
      <c r="B16" s="43" t="s">
        <v>116</v>
      </c>
      <c r="C16" s="44" t="s">
        <v>117</v>
      </c>
      <c r="D16" s="43" t="s">
        <v>71</v>
      </c>
      <c r="E16" s="39" t="s">
        <v>187</v>
      </c>
      <c r="F16" s="39">
        <v>79.5</v>
      </c>
      <c r="G16" s="46">
        <f>E16*F16</f>
        <v>19.246950000000002</v>
      </c>
    </row>
    <row r="17" spans="1:7" ht="24" x14ac:dyDescent="0.25">
      <c r="A17" s="42" t="s">
        <v>115</v>
      </c>
      <c r="B17" s="43" t="s">
        <v>119</v>
      </c>
      <c r="C17" s="44" t="s">
        <v>120</v>
      </c>
      <c r="D17" s="43" t="s">
        <v>121</v>
      </c>
      <c r="E17" s="39" t="s">
        <v>188</v>
      </c>
      <c r="F17" s="39">
        <v>0.71</v>
      </c>
      <c r="G17" s="46">
        <f t="shared" ref="G17:G29" si="1">E17*F17</f>
        <v>36.834800000000001</v>
      </c>
    </row>
    <row r="18" spans="1:7" ht="36" customHeight="1" x14ac:dyDescent="0.25">
      <c r="A18" s="42" t="s">
        <v>115</v>
      </c>
      <c r="B18" s="43" t="s">
        <v>123</v>
      </c>
      <c r="C18" s="44" t="s">
        <v>124</v>
      </c>
      <c r="D18" s="43" t="s">
        <v>71</v>
      </c>
      <c r="E18" s="39" t="s">
        <v>189</v>
      </c>
      <c r="F18" s="39">
        <v>71.2</v>
      </c>
      <c r="G18" s="46">
        <f t="shared" si="1"/>
        <v>12.3888</v>
      </c>
    </row>
    <row r="19" spans="1:7" ht="20.100000000000001" customHeight="1" x14ac:dyDescent="0.25">
      <c r="A19" s="42" t="s">
        <v>115</v>
      </c>
      <c r="B19" s="43" t="s">
        <v>126</v>
      </c>
      <c r="C19" s="44" t="s">
        <v>127</v>
      </c>
      <c r="D19" s="43" t="s">
        <v>71</v>
      </c>
      <c r="E19" s="39" t="s">
        <v>190</v>
      </c>
      <c r="F19" s="39">
        <v>61.67</v>
      </c>
      <c r="G19" s="46">
        <f t="shared" si="1"/>
        <v>10.989594</v>
      </c>
    </row>
    <row r="20" spans="1:7" ht="36" x14ac:dyDescent="0.25">
      <c r="A20" s="42" t="s">
        <v>75</v>
      </c>
      <c r="B20" s="43" t="s">
        <v>129</v>
      </c>
      <c r="C20" s="44" t="s">
        <v>130</v>
      </c>
      <c r="D20" s="43" t="s">
        <v>81</v>
      </c>
      <c r="E20" s="39" t="s">
        <v>191</v>
      </c>
      <c r="F20" s="39">
        <v>182.42</v>
      </c>
      <c r="G20" s="46">
        <f t="shared" si="1"/>
        <v>0.89385799999999993</v>
      </c>
    </row>
    <row r="21" spans="1:7" ht="36" customHeight="1" x14ac:dyDescent="0.25">
      <c r="A21" s="42" t="s">
        <v>75</v>
      </c>
      <c r="B21" s="43" t="s">
        <v>132</v>
      </c>
      <c r="C21" s="44" t="s">
        <v>133</v>
      </c>
      <c r="D21" s="43" t="s">
        <v>85</v>
      </c>
      <c r="E21" s="39" t="s">
        <v>134</v>
      </c>
      <c r="F21" s="39">
        <v>69.25</v>
      </c>
      <c r="G21" s="46">
        <f t="shared" si="1"/>
        <v>1.2395749999999999</v>
      </c>
    </row>
    <row r="22" spans="1:7" ht="36" customHeight="1" x14ac:dyDescent="0.25">
      <c r="A22" s="42" t="s">
        <v>75</v>
      </c>
      <c r="B22" s="43" t="s">
        <v>135</v>
      </c>
      <c r="C22" s="44" t="s">
        <v>136</v>
      </c>
      <c r="D22" s="43" t="s">
        <v>81</v>
      </c>
      <c r="E22" s="39" t="s">
        <v>137</v>
      </c>
      <c r="F22" s="39">
        <v>273.91000000000003</v>
      </c>
      <c r="G22" s="46">
        <f t="shared" si="1"/>
        <v>12.462905000000001</v>
      </c>
    </row>
    <row r="23" spans="1:7" ht="36" customHeight="1" x14ac:dyDescent="0.25">
      <c r="A23" s="42" t="s">
        <v>115</v>
      </c>
      <c r="B23" s="43" t="s">
        <v>138</v>
      </c>
      <c r="C23" s="44" t="s">
        <v>139</v>
      </c>
      <c r="D23" s="43" t="s">
        <v>77</v>
      </c>
      <c r="E23" s="39" t="s">
        <v>192</v>
      </c>
      <c r="F23" s="39">
        <v>5333.27</v>
      </c>
      <c r="G23" s="46">
        <f t="shared" si="1"/>
        <v>301.86308200000002</v>
      </c>
    </row>
    <row r="24" spans="1:7" ht="20.100000000000001" customHeight="1" x14ac:dyDescent="0.25">
      <c r="A24" s="42" t="s">
        <v>75</v>
      </c>
      <c r="B24" s="43" t="s">
        <v>141</v>
      </c>
      <c r="C24" s="44" t="s">
        <v>142</v>
      </c>
      <c r="D24" s="43" t="s">
        <v>89</v>
      </c>
      <c r="E24" s="39" t="s">
        <v>137</v>
      </c>
      <c r="F24" s="39">
        <v>18.84</v>
      </c>
      <c r="G24" s="46">
        <f t="shared" si="1"/>
        <v>0.85721999999999998</v>
      </c>
    </row>
    <row r="25" spans="1:7" ht="20.100000000000001" customHeight="1" x14ac:dyDescent="0.25">
      <c r="A25" s="42" t="s">
        <v>75</v>
      </c>
      <c r="B25" s="43" t="s">
        <v>143</v>
      </c>
      <c r="C25" s="44" t="s">
        <v>144</v>
      </c>
      <c r="D25" s="43" t="s">
        <v>89</v>
      </c>
      <c r="E25" s="39" t="s">
        <v>145</v>
      </c>
      <c r="F25" s="39">
        <v>48.97</v>
      </c>
      <c r="G25" s="46">
        <f t="shared" si="1"/>
        <v>1.1116190000000001</v>
      </c>
    </row>
    <row r="26" spans="1:7" ht="36" customHeight="1" x14ac:dyDescent="0.25">
      <c r="A26" s="42" t="s">
        <v>75</v>
      </c>
      <c r="B26" s="43" t="s">
        <v>146</v>
      </c>
      <c r="C26" s="44" t="s">
        <v>147</v>
      </c>
      <c r="D26" s="43" t="s">
        <v>81</v>
      </c>
      <c r="E26" s="39" t="s">
        <v>148</v>
      </c>
      <c r="F26" s="39">
        <v>3353.99</v>
      </c>
      <c r="G26" s="46">
        <f t="shared" si="1"/>
        <v>59.030223999999997</v>
      </c>
    </row>
    <row r="27" spans="1:7" ht="36" customHeight="1" x14ac:dyDescent="0.25">
      <c r="A27" s="42" t="s">
        <v>75</v>
      </c>
      <c r="B27" s="43" t="s">
        <v>149</v>
      </c>
      <c r="C27" s="44" t="s">
        <v>150</v>
      </c>
      <c r="D27" s="43" t="s">
        <v>85</v>
      </c>
      <c r="E27" s="39" t="s">
        <v>151</v>
      </c>
      <c r="F27" s="39">
        <v>228.06</v>
      </c>
      <c r="G27" s="46">
        <f t="shared" si="1"/>
        <v>1.1631060000000002</v>
      </c>
    </row>
    <row r="28" spans="1:7" ht="36" customHeight="1" x14ac:dyDescent="0.25">
      <c r="A28" s="42" t="s">
        <v>75</v>
      </c>
      <c r="B28" s="43" t="s">
        <v>152</v>
      </c>
      <c r="C28" s="44" t="s">
        <v>153</v>
      </c>
      <c r="D28" s="43" t="s">
        <v>81</v>
      </c>
      <c r="E28" s="39" t="s">
        <v>148</v>
      </c>
      <c r="F28" s="39">
        <v>297.02999999999997</v>
      </c>
      <c r="G28" s="46">
        <f t="shared" si="1"/>
        <v>5.2277279999999999</v>
      </c>
    </row>
    <row r="29" spans="1:7" ht="36" customHeight="1" x14ac:dyDescent="0.25">
      <c r="A29" s="42" t="s">
        <v>75</v>
      </c>
      <c r="B29" s="43" t="s">
        <v>154</v>
      </c>
      <c r="C29" s="44" t="s">
        <v>155</v>
      </c>
      <c r="D29" s="43" t="s">
        <v>85</v>
      </c>
      <c r="E29" s="39" t="s">
        <v>151</v>
      </c>
      <c r="F29" s="39">
        <v>9.31</v>
      </c>
      <c r="G29" s="46">
        <f t="shared" si="1"/>
        <v>4.7481000000000009E-2</v>
      </c>
    </row>
    <row r="30" spans="1:7" ht="15.75" thickBot="1" x14ac:dyDescent="0.3">
      <c r="A30" s="397"/>
      <c r="B30" s="398"/>
      <c r="C30" s="398"/>
      <c r="D30" s="398"/>
      <c r="E30" s="398"/>
      <c r="F30" s="398"/>
      <c r="G30" s="51">
        <f>SUM(G16:G29)</f>
        <v>463.35694200000006</v>
      </c>
    </row>
    <row r="31" spans="1:7" ht="15.75" thickBot="1" x14ac:dyDescent="0.3"/>
    <row r="32" spans="1:7" ht="36" x14ac:dyDescent="0.25">
      <c r="A32" s="36" t="s">
        <v>279</v>
      </c>
      <c r="B32" s="37">
        <v>2</v>
      </c>
      <c r="C32" s="38" t="s">
        <v>70</v>
      </c>
      <c r="D32" s="37" t="s">
        <v>71</v>
      </c>
      <c r="E32" s="39" t="s">
        <v>72</v>
      </c>
      <c r="F32" s="40" t="s">
        <v>73</v>
      </c>
      <c r="G32" s="41" t="s">
        <v>74</v>
      </c>
    </row>
    <row r="33" spans="1:7" ht="24" x14ac:dyDescent="0.25">
      <c r="A33" s="42" t="s">
        <v>75</v>
      </c>
      <c r="B33" s="43">
        <v>101021</v>
      </c>
      <c r="C33" s="44" t="s">
        <v>76</v>
      </c>
      <c r="D33" s="43" t="s">
        <v>77</v>
      </c>
      <c r="E33" s="45" t="s">
        <v>78</v>
      </c>
      <c r="F33" s="39">
        <f>G61</f>
        <v>503.04187110000004</v>
      </c>
      <c r="G33" s="46">
        <f>E33*F33</f>
        <v>1285.1713722862801</v>
      </c>
    </row>
    <row r="34" spans="1:7" ht="36" x14ac:dyDescent="0.25">
      <c r="A34" s="42" t="s">
        <v>75</v>
      </c>
      <c r="B34" s="43" t="s">
        <v>79</v>
      </c>
      <c r="C34" s="44" t="s">
        <v>80</v>
      </c>
      <c r="D34" s="43" t="s">
        <v>81</v>
      </c>
      <c r="E34" s="39" t="s">
        <v>82</v>
      </c>
      <c r="F34" s="39">
        <v>392.62</v>
      </c>
      <c r="G34" s="46">
        <f t="shared" ref="G34:G43" si="2">E34*F34</f>
        <v>18.217568</v>
      </c>
    </row>
    <row r="35" spans="1:7" ht="36" x14ac:dyDescent="0.25">
      <c r="A35" s="42" t="s">
        <v>75</v>
      </c>
      <c r="B35" s="43" t="s">
        <v>83</v>
      </c>
      <c r="C35" s="44" t="s">
        <v>84</v>
      </c>
      <c r="D35" s="43" t="s">
        <v>85</v>
      </c>
      <c r="E35" s="39" t="s">
        <v>86</v>
      </c>
      <c r="F35" s="39">
        <v>143.91</v>
      </c>
      <c r="G35" s="46">
        <f t="shared" si="2"/>
        <v>13.657059</v>
      </c>
    </row>
    <row r="36" spans="1:7" x14ac:dyDescent="0.25">
      <c r="A36" s="42" t="s">
        <v>75</v>
      </c>
      <c r="B36" s="43" t="s">
        <v>87</v>
      </c>
      <c r="C36" s="44" t="s">
        <v>88</v>
      </c>
      <c r="D36" s="43" t="s">
        <v>89</v>
      </c>
      <c r="E36" s="39" t="s">
        <v>90</v>
      </c>
      <c r="F36" s="39">
        <v>20.48</v>
      </c>
      <c r="G36" s="46">
        <f t="shared" si="2"/>
        <v>23.144448000000004</v>
      </c>
    </row>
    <row r="37" spans="1:7" ht="36" x14ac:dyDescent="0.25">
      <c r="A37" s="42" t="s">
        <v>75</v>
      </c>
      <c r="B37" s="43" t="s">
        <v>91</v>
      </c>
      <c r="C37" s="44" t="s">
        <v>92</v>
      </c>
      <c r="D37" s="43" t="s">
        <v>81</v>
      </c>
      <c r="E37" s="39" t="s">
        <v>82</v>
      </c>
      <c r="F37" s="39">
        <v>236.92</v>
      </c>
      <c r="G37" s="46">
        <f t="shared" si="2"/>
        <v>10.993087999999998</v>
      </c>
    </row>
    <row r="38" spans="1:7" ht="36" x14ac:dyDescent="0.25">
      <c r="A38" s="42" t="s">
        <v>75</v>
      </c>
      <c r="B38" s="43" t="s">
        <v>93</v>
      </c>
      <c r="C38" s="44" t="s">
        <v>94</v>
      </c>
      <c r="D38" s="43" t="s">
        <v>81</v>
      </c>
      <c r="E38" s="39" t="s">
        <v>95</v>
      </c>
      <c r="F38" s="39">
        <v>205.09</v>
      </c>
      <c r="G38" s="46">
        <f t="shared" si="2"/>
        <v>16.509745000000002</v>
      </c>
    </row>
    <row r="39" spans="1:7" ht="36" x14ac:dyDescent="0.25">
      <c r="A39" s="42" t="s">
        <v>75</v>
      </c>
      <c r="B39" s="43" t="s">
        <v>96</v>
      </c>
      <c r="C39" s="44" t="s">
        <v>97</v>
      </c>
      <c r="D39" s="43" t="s">
        <v>85</v>
      </c>
      <c r="E39" s="39" t="s">
        <v>98</v>
      </c>
      <c r="F39" s="39">
        <v>65.62</v>
      </c>
      <c r="G39" s="46">
        <f t="shared" si="2"/>
        <v>3.9831340000000002</v>
      </c>
    </row>
    <row r="40" spans="1:7" ht="24" x14ac:dyDescent="0.25">
      <c r="A40" s="42" t="s">
        <v>75</v>
      </c>
      <c r="B40" s="43" t="s">
        <v>99</v>
      </c>
      <c r="C40" s="44" t="s">
        <v>100</v>
      </c>
      <c r="D40" s="43" t="s">
        <v>85</v>
      </c>
      <c r="E40" s="39" t="s">
        <v>101</v>
      </c>
      <c r="F40" s="39">
        <v>50.61</v>
      </c>
      <c r="G40" s="46">
        <f t="shared" si="2"/>
        <v>5.420331</v>
      </c>
    </row>
    <row r="41" spans="1:7" ht="24" x14ac:dyDescent="0.25">
      <c r="A41" s="42" t="s">
        <v>75</v>
      </c>
      <c r="B41" s="43" t="s">
        <v>102</v>
      </c>
      <c r="C41" s="44" t="s">
        <v>103</v>
      </c>
      <c r="D41" s="43" t="s">
        <v>81</v>
      </c>
      <c r="E41" s="39" t="s">
        <v>104</v>
      </c>
      <c r="F41" s="39">
        <v>138.93</v>
      </c>
      <c r="G41" s="46">
        <f t="shared" si="2"/>
        <v>4.7375129999999999</v>
      </c>
    </row>
    <row r="42" spans="1:7" ht="36" x14ac:dyDescent="0.25">
      <c r="A42" s="42" t="s">
        <v>75</v>
      </c>
      <c r="B42" s="43" t="s">
        <v>105</v>
      </c>
      <c r="C42" s="44" t="s">
        <v>106</v>
      </c>
      <c r="D42" s="43" t="s">
        <v>81</v>
      </c>
      <c r="E42" s="39" t="s">
        <v>107</v>
      </c>
      <c r="F42" s="39">
        <v>188.9</v>
      </c>
      <c r="G42" s="46">
        <f t="shared" si="2"/>
        <v>7.9149099999999999</v>
      </c>
    </row>
    <row r="43" spans="1:7" ht="36" x14ac:dyDescent="0.25">
      <c r="A43" s="42" t="s">
        <v>75</v>
      </c>
      <c r="B43" s="43" t="s">
        <v>108</v>
      </c>
      <c r="C43" s="44" t="s">
        <v>109</v>
      </c>
      <c r="D43" s="43" t="s">
        <v>85</v>
      </c>
      <c r="E43" s="39" t="s">
        <v>110</v>
      </c>
      <c r="F43" s="39">
        <v>70.36</v>
      </c>
      <c r="G43" s="46">
        <f t="shared" si="2"/>
        <v>6.9656400000000005</v>
      </c>
    </row>
    <row r="44" spans="1:7" ht="15.75" thickBot="1" x14ac:dyDescent="0.3">
      <c r="A44" s="394" t="s">
        <v>111</v>
      </c>
      <c r="B44" s="395"/>
      <c r="C44" s="395"/>
      <c r="D44" s="395"/>
      <c r="E44" s="395"/>
      <c r="F44" s="396"/>
      <c r="G44" s="47">
        <f>SUM(G33:G43)</f>
        <v>1396.71480828628</v>
      </c>
    </row>
    <row r="45" spans="1:7" ht="15.75" thickBot="1" x14ac:dyDescent="0.3">
      <c r="E45" s="48"/>
    </row>
    <row r="46" spans="1:7" ht="36" x14ac:dyDescent="0.25">
      <c r="A46" s="36" t="s">
        <v>112</v>
      </c>
      <c r="B46" s="37" t="s">
        <v>113</v>
      </c>
      <c r="C46" s="38" t="s">
        <v>114</v>
      </c>
      <c r="D46" s="37" t="s">
        <v>77</v>
      </c>
      <c r="E46" s="39" t="s">
        <v>72</v>
      </c>
      <c r="F46" s="40" t="s">
        <v>73</v>
      </c>
      <c r="G46" s="41" t="s">
        <v>74</v>
      </c>
    </row>
    <row r="47" spans="1:7" ht="24" x14ac:dyDescent="0.25">
      <c r="A47" s="42" t="s">
        <v>115</v>
      </c>
      <c r="B47" s="43" t="s">
        <v>116</v>
      </c>
      <c r="C47" s="44" t="s">
        <v>117</v>
      </c>
      <c r="D47" s="43" t="s">
        <v>71</v>
      </c>
      <c r="E47" s="39" t="s">
        <v>118</v>
      </c>
      <c r="F47" s="39">
        <v>79.5</v>
      </c>
      <c r="G47" s="46">
        <f>E47*F47</f>
        <v>25.821599999999997</v>
      </c>
    </row>
    <row r="48" spans="1:7" ht="24" x14ac:dyDescent="0.25">
      <c r="A48" s="42" t="s">
        <v>115</v>
      </c>
      <c r="B48" s="43" t="s">
        <v>119</v>
      </c>
      <c r="C48" s="44" t="s">
        <v>120</v>
      </c>
      <c r="D48" s="43" t="s">
        <v>121</v>
      </c>
      <c r="E48" s="39" t="s">
        <v>122</v>
      </c>
      <c r="F48" s="39">
        <v>0.71</v>
      </c>
      <c r="G48" s="46">
        <f t="shared" ref="G48:G60" si="3">E48*F48</f>
        <v>39.902000000000001</v>
      </c>
    </row>
    <row r="49" spans="1:7" ht="24" x14ac:dyDescent="0.25">
      <c r="A49" s="42" t="s">
        <v>115</v>
      </c>
      <c r="B49" s="43" t="s">
        <v>123</v>
      </c>
      <c r="C49" s="44" t="s">
        <v>124</v>
      </c>
      <c r="D49" s="43" t="s">
        <v>71</v>
      </c>
      <c r="E49" s="39" t="s">
        <v>125</v>
      </c>
      <c r="F49" s="39">
        <v>71.2</v>
      </c>
      <c r="G49" s="46">
        <f t="shared" si="3"/>
        <v>14.225760000000001</v>
      </c>
    </row>
    <row r="50" spans="1:7" x14ac:dyDescent="0.25">
      <c r="A50" s="42" t="s">
        <v>115</v>
      </c>
      <c r="B50" s="43" t="s">
        <v>126</v>
      </c>
      <c r="C50" s="44" t="s">
        <v>127</v>
      </c>
      <c r="D50" s="43" t="s">
        <v>71</v>
      </c>
      <c r="E50" s="39" t="s">
        <v>128</v>
      </c>
      <c r="F50" s="39">
        <v>61.67</v>
      </c>
      <c r="G50" s="46">
        <f t="shared" si="3"/>
        <v>3.8543750000000001</v>
      </c>
    </row>
    <row r="51" spans="1:7" ht="36" x14ac:dyDescent="0.25">
      <c r="A51" s="42" t="s">
        <v>75</v>
      </c>
      <c r="B51" s="43" t="s">
        <v>129</v>
      </c>
      <c r="C51" s="44" t="s">
        <v>130</v>
      </c>
      <c r="D51" s="43" t="s">
        <v>81</v>
      </c>
      <c r="E51" s="39" t="s">
        <v>131</v>
      </c>
      <c r="F51" s="39">
        <v>182.42</v>
      </c>
      <c r="G51" s="46">
        <f t="shared" si="3"/>
        <v>0.87561599999999984</v>
      </c>
    </row>
    <row r="52" spans="1:7" ht="36" x14ac:dyDescent="0.25">
      <c r="A52" s="42" t="s">
        <v>75</v>
      </c>
      <c r="B52" s="43" t="s">
        <v>132</v>
      </c>
      <c r="C52" s="44" t="s">
        <v>133</v>
      </c>
      <c r="D52" s="43" t="s">
        <v>85</v>
      </c>
      <c r="E52" s="39" t="s">
        <v>134</v>
      </c>
      <c r="F52" s="39">
        <v>69.25</v>
      </c>
      <c r="G52" s="46">
        <f t="shared" si="3"/>
        <v>1.2395749999999999</v>
      </c>
    </row>
    <row r="53" spans="1:7" ht="24" x14ac:dyDescent="0.25">
      <c r="A53" s="42" t="s">
        <v>75</v>
      </c>
      <c r="B53" s="43" t="s">
        <v>135</v>
      </c>
      <c r="C53" s="44" t="s">
        <v>136</v>
      </c>
      <c r="D53" s="43" t="s">
        <v>81</v>
      </c>
      <c r="E53" s="39" t="s">
        <v>137</v>
      </c>
      <c r="F53" s="39">
        <v>273.91000000000003</v>
      </c>
      <c r="G53" s="46">
        <f t="shared" si="3"/>
        <v>12.462905000000001</v>
      </c>
    </row>
    <row r="54" spans="1:7" ht="24" x14ac:dyDescent="0.25">
      <c r="A54" s="42" t="s">
        <v>115</v>
      </c>
      <c r="B54" s="43" t="s">
        <v>138</v>
      </c>
      <c r="C54" s="44" t="s">
        <v>139</v>
      </c>
      <c r="D54" s="43" t="s">
        <v>77</v>
      </c>
      <c r="E54" s="39" t="s">
        <v>140</v>
      </c>
      <c r="F54" s="39">
        <v>5333.27</v>
      </c>
      <c r="G54" s="46">
        <f t="shared" si="3"/>
        <v>337.22266209999998</v>
      </c>
    </row>
    <row r="55" spans="1:7" x14ac:dyDescent="0.25">
      <c r="A55" s="42" t="s">
        <v>75</v>
      </c>
      <c r="B55" s="43" t="s">
        <v>141</v>
      </c>
      <c r="C55" s="44" t="s">
        <v>142</v>
      </c>
      <c r="D55" s="43" t="s">
        <v>89</v>
      </c>
      <c r="E55" s="39" t="s">
        <v>137</v>
      </c>
      <c r="F55" s="39">
        <v>18.84</v>
      </c>
      <c r="G55" s="46">
        <f t="shared" si="3"/>
        <v>0.85721999999999998</v>
      </c>
    </row>
    <row r="56" spans="1:7" x14ac:dyDescent="0.25">
      <c r="A56" s="42" t="s">
        <v>75</v>
      </c>
      <c r="B56" s="43" t="s">
        <v>143</v>
      </c>
      <c r="C56" s="44" t="s">
        <v>144</v>
      </c>
      <c r="D56" s="43" t="s">
        <v>89</v>
      </c>
      <c r="E56" s="39" t="s">
        <v>145</v>
      </c>
      <c r="F56" s="39">
        <v>48.97</v>
      </c>
      <c r="G56" s="46">
        <f t="shared" si="3"/>
        <v>1.1116190000000001</v>
      </c>
    </row>
    <row r="57" spans="1:7" ht="24" x14ac:dyDescent="0.25">
      <c r="A57" s="42" t="s">
        <v>75</v>
      </c>
      <c r="B57" s="43" t="s">
        <v>146</v>
      </c>
      <c r="C57" s="44" t="s">
        <v>147</v>
      </c>
      <c r="D57" s="43" t="s">
        <v>81</v>
      </c>
      <c r="E57" s="39" t="s">
        <v>148</v>
      </c>
      <c r="F57" s="39">
        <v>3353.99</v>
      </c>
      <c r="G57" s="46">
        <f t="shared" si="3"/>
        <v>59.030223999999997</v>
      </c>
    </row>
    <row r="58" spans="1:7" ht="24" x14ac:dyDescent="0.25">
      <c r="A58" s="42" t="s">
        <v>75</v>
      </c>
      <c r="B58" s="43" t="s">
        <v>149</v>
      </c>
      <c r="C58" s="44" t="s">
        <v>150</v>
      </c>
      <c r="D58" s="43" t="s">
        <v>85</v>
      </c>
      <c r="E58" s="39" t="s">
        <v>151</v>
      </c>
      <c r="F58" s="39">
        <v>228.06</v>
      </c>
      <c r="G58" s="46">
        <f t="shared" si="3"/>
        <v>1.1631060000000002</v>
      </c>
    </row>
    <row r="59" spans="1:7" ht="24" x14ac:dyDescent="0.25">
      <c r="A59" s="42" t="s">
        <v>75</v>
      </c>
      <c r="B59" s="43" t="s">
        <v>152</v>
      </c>
      <c r="C59" s="44" t="s">
        <v>153</v>
      </c>
      <c r="D59" s="43" t="s">
        <v>81</v>
      </c>
      <c r="E59" s="39" t="s">
        <v>148</v>
      </c>
      <c r="F59" s="39">
        <v>297.02999999999997</v>
      </c>
      <c r="G59" s="46">
        <f t="shared" si="3"/>
        <v>5.2277279999999999</v>
      </c>
    </row>
    <row r="60" spans="1:7" ht="24" x14ac:dyDescent="0.25">
      <c r="A60" s="42" t="s">
        <v>75</v>
      </c>
      <c r="B60" s="43" t="s">
        <v>154</v>
      </c>
      <c r="C60" s="44" t="s">
        <v>155</v>
      </c>
      <c r="D60" s="43" t="s">
        <v>85</v>
      </c>
      <c r="E60" s="39" t="s">
        <v>151</v>
      </c>
      <c r="F60" s="39">
        <v>9.31</v>
      </c>
      <c r="G60" s="46">
        <f t="shared" si="3"/>
        <v>4.7481000000000009E-2</v>
      </c>
    </row>
    <row r="61" spans="1:7" ht="15.75" thickBot="1" x14ac:dyDescent="0.3">
      <c r="A61" s="49"/>
      <c r="B61" s="50"/>
      <c r="C61" s="50"/>
      <c r="D61" s="50"/>
      <c r="E61" s="50"/>
      <c r="F61" s="50"/>
      <c r="G61" s="51">
        <f>SUM(G47:G60)</f>
        <v>503.04187110000004</v>
      </c>
    </row>
    <row r="63" spans="1:7" ht="25.5" x14ac:dyDescent="0.25">
      <c r="A63" s="232" t="s">
        <v>279</v>
      </c>
      <c r="B63" s="233">
        <v>3</v>
      </c>
      <c r="C63" s="234" t="s">
        <v>328</v>
      </c>
      <c r="D63" s="233" t="s">
        <v>280</v>
      </c>
      <c r="E63" s="235" t="s">
        <v>281</v>
      </c>
      <c r="F63" s="235" t="s">
        <v>282</v>
      </c>
      <c r="G63" s="236" t="s">
        <v>283</v>
      </c>
    </row>
    <row r="64" spans="1:7" x14ac:dyDescent="0.25">
      <c r="A64" s="217"/>
      <c r="B64" s="218"/>
      <c r="C64" s="219" t="s">
        <v>327</v>
      </c>
      <c r="D64" s="218" t="s">
        <v>284</v>
      </c>
      <c r="E64" s="220" t="s">
        <v>285</v>
      </c>
      <c r="F64" s="220"/>
      <c r="G64" s="221"/>
    </row>
    <row r="65" spans="1:7" x14ac:dyDescent="0.25">
      <c r="A65" s="217" t="s">
        <v>286</v>
      </c>
      <c r="B65" s="218" t="s">
        <v>376</v>
      </c>
      <c r="C65" s="222" t="s">
        <v>329</v>
      </c>
      <c r="D65" s="218" t="s">
        <v>287</v>
      </c>
      <c r="E65" s="223">
        <f>1.2/1000</f>
        <v>1.1999999999999999E-3</v>
      </c>
      <c r="F65" s="224">
        <f>(3344.37926659335)*1.25</f>
        <v>4180.4740832416874</v>
      </c>
      <c r="G65" s="225">
        <f>F65*E65</f>
        <v>5.0165688998900242</v>
      </c>
    </row>
    <row r="66" spans="1:7" x14ac:dyDescent="0.25">
      <c r="A66" s="217" t="s">
        <v>75</v>
      </c>
      <c r="B66" s="218">
        <v>88316</v>
      </c>
      <c r="C66" s="222" t="s">
        <v>142</v>
      </c>
      <c r="D66" s="218" t="s">
        <v>89</v>
      </c>
      <c r="E66" s="220" t="s">
        <v>288</v>
      </c>
      <c r="F66" s="224">
        <v>18.84</v>
      </c>
      <c r="G66" s="225">
        <f>F66*E66</f>
        <v>2.2721040000000001</v>
      </c>
    </row>
    <row r="67" spans="1:7" ht="38.25" x14ac:dyDescent="0.25">
      <c r="A67" s="217" t="s">
        <v>75</v>
      </c>
      <c r="B67" s="218">
        <v>83362</v>
      </c>
      <c r="C67" s="222" t="s">
        <v>289</v>
      </c>
      <c r="D67" s="218" t="s">
        <v>81</v>
      </c>
      <c r="E67" s="220" t="s">
        <v>290</v>
      </c>
      <c r="F67" s="224">
        <v>255.8</v>
      </c>
      <c r="G67" s="225">
        <f t="shared" ref="G67:G68" si="4">F67*E67</f>
        <v>0.33254</v>
      </c>
    </row>
    <row r="68" spans="1:7" ht="38.25" x14ac:dyDescent="0.25">
      <c r="A68" s="217" t="s">
        <v>75</v>
      </c>
      <c r="B68" s="218">
        <v>91486</v>
      </c>
      <c r="C68" s="222" t="s">
        <v>291</v>
      </c>
      <c r="D68" s="218" t="s">
        <v>85</v>
      </c>
      <c r="E68" s="220" t="s">
        <v>292</v>
      </c>
      <c r="F68" s="224">
        <v>54.29</v>
      </c>
      <c r="G68" s="225">
        <f t="shared" si="4"/>
        <v>0.14658300000000002</v>
      </c>
    </row>
    <row r="69" spans="1:7" ht="15.75" thickBot="1" x14ac:dyDescent="0.3">
      <c r="A69" s="226"/>
      <c r="B69" s="227"/>
      <c r="C69" s="228"/>
      <c r="D69" s="227"/>
      <c r="E69" s="229"/>
      <c r="F69" s="230" t="s">
        <v>171</v>
      </c>
      <c r="G69" s="231">
        <f>SUM(G65:G68)</f>
        <v>7.7677958998900234</v>
      </c>
    </row>
    <row r="71" spans="1:7" x14ac:dyDescent="0.25">
      <c r="A71" s="244" t="s">
        <v>314</v>
      </c>
      <c r="B71" s="245" t="s">
        <v>315</v>
      </c>
      <c r="C71" s="245" t="s">
        <v>313</v>
      </c>
      <c r="D71" s="246"/>
      <c r="E71" s="246"/>
      <c r="F71" s="246"/>
      <c r="G71" s="246"/>
    </row>
    <row r="72" spans="1:7" ht="25.5" x14ac:dyDescent="0.25">
      <c r="A72" s="247" t="s">
        <v>279</v>
      </c>
      <c r="B72" s="248">
        <v>4</v>
      </c>
      <c r="C72" s="248" t="s">
        <v>293</v>
      </c>
      <c r="D72" s="247" t="s">
        <v>312</v>
      </c>
      <c r="E72" s="248" t="s">
        <v>308</v>
      </c>
      <c r="F72" s="247" t="s">
        <v>310</v>
      </c>
      <c r="G72" s="248" t="s">
        <v>311</v>
      </c>
    </row>
    <row r="73" spans="1:7" x14ac:dyDescent="0.25">
      <c r="A73" s="237" t="s">
        <v>294</v>
      </c>
      <c r="B73" s="237" t="s">
        <v>295</v>
      </c>
      <c r="C73" s="238" t="s">
        <v>296</v>
      </c>
      <c r="D73" s="239">
        <v>0.75</v>
      </c>
      <c r="E73" s="239">
        <v>1</v>
      </c>
      <c r="F73" s="240">
        <v>290.5</v>
      </c>
      <c r="G73" s="240">
        <f>D73*E73*F73</f>
        <v>217.875</v>
      </c>
    </row>
    <row r="74" spans="1:7" x14ac:dyDescent="0.25">
      <c r="A74" s="237" t="s">
        <v>294</v>
      </c>
      <c r="B74" s="237" t="s">
        <v>295</v>
      </c>
      <c r="C74" s="238" t="s">
        <v>297</v>
      </c>
      <c r="D74" s="239">
        <v>0.75</v>
      </c>
      <c r="E74" s="239">
        <v>2</v>
      </c>
      <c r="F74" s="240">
        <v>290.5</v>
      </c>
      <c r="G74" s="240">
        <f t="shared" ref="G74:G78" si="5">D74*E74*F74</f>
        <v>435.75</v>
      </c>
    </row>
    <row r="75" spans="1:7" x14ac:dyDescent="0.25">
      <c r="A75" s="237" t="s">
        <v>294</v>
      </c>
      <c r="B75" s="237" t="s">
        <v>295</v>
      </c>
      <c r="C75" s="238" t="s">
        <v>298</v>
      </c>
      <c r="D75" s="239">
        <v>0.75</v>
      </c>
      <c r="E75" s="239">
        <v>1</v>
      </c>
      <c r="F75" s="240">
        <v>290.5</v>
      </c>
      <c r="G75" s="240">
        <f t="shared" si="5"/>
        <v>217.875</v>
      </c>
    </row>
    <row r="76" spans="1:7" x14ac:dyDescent="0.25">
      <c r="A76" s="237" t="s">
        <v>294</v>
      </c>
      <c r="B76" s="237" t="s">
        <v>295</v>
      </c>
      <c r="C76" s="238" t="s">
        <v>299</v>
      </c>
      <c r="D76" s="239">
        <v>0.75</v>
      </c>
      <c r="E76" s="239">
        <v>1</v>
      </c>
      <c r="F76" s="240">
        <v>290.5</v>
      </c>
      <c r="G76" s="240">
        <f t="shared" si="5"/>
        <v>217.875</v>
      </c>
    </row>
    <row r="77" spans="1:7" x14ac:dyDescent="0.25">
      <c r="A77" s="237" t="s">
        <v>294</v>
      </c>
      <c r="B77" s="237" t="s">
        <v>295</v>
      </c>
      <c r="C77" s="238" t="s">
        <v>300</v>
      </c>
      <c r="D77" s="239">
        <v>0.75</v>
      </c>
      <c r="E77" s="239">
        <v>2</v>
      </c>
      <c r="F77" s="240">
        <v>290.5</v>
      </c>
      <c r="G77" s="240">
        <f t="shared" si="5"/>
        <v>435.75</v>
      </c>
    </row>
    <row r="78" spans="1:7" x14ac:dyDescent="0.25">
      <c r="A78" s="237" t="s">
        <v>294</v>
      </c>
      <c r="B78" s="237" t="s">
        <v>295</v>
      </c>
      <c r="C78" s="238" t="s">
        <v>301</v>
      </c>
      <c r="D78" s="239">
        <v>0.75</v>
      </c>
      <c r="E78" s="239">
        <v>1</v>
      </c>
      <c r="F78" s="240">
        <v>290.5</v>
      </c>
      <c r="G78" s="240">
        <f t="shared" si="5"/>
        <v>217.875</v>
      </c>
    </row>
    <row r="79" spans="1:7" x14ac:dyDescent="0.25">
      <c r="A79" s="237" t="s">
        <v>294</v>
      </c>
      <c r="B79" s="237" t="s">
        <v>295</v>
      </c>
      <c r="C79" s="238" t="s">
        <v>302</v>
      </c>
      <c r="D79" s="239">
        <v>0.75</v>
      </c>
      <c r="E79" s="239">
        <v>2</v>
      </c>
      <c r="F79" s="240">
        <v>290.5</v>
      </c>
      <c r="G79" s="240">
        <f>D79*E79*F79</f>
        <v>435.75</v>
      </c>
    </row>
    <row r="80" spans="1:7" x14ac:dyDescent="0.25">
      <c r="A80" s="237" t="s">
        <v>294</v>
      </c>
      <c r="B80" s="237" t="s">
        <v>295</v>
      </c>
      <c r="C80" s="241" t="s">
        <v>303</v>
      </c>
      <c r="D80" s="239">
        <v>0.75</v>
      </c>
      <c r="E80" s="239">
        <v>2</v>
      </c>
      <c r="F80" s="240">
        <v>290.5</v>
      </c>
      <c r="G80" s="240">
        <f t="shared" ref="G80:G84" si="6">D80*E80*F80</f>
        <v>435.75</v>
      </c>
    </row>
    <row r="81" spans="1:7" x14ac:dyDescent="0.25">
      <c r="A81" s="237" t="s">
        <v>294</v>
      </c>
      <c r="B81" s="237" t="s">
        <v>295</v>
      </c>
      <c r="C81" s="241" t="s">
        <v>304</v>
      </c>
      <c r="D81" s="239">
        <v>0.75</v>
      </c>
      <c r="E81" s="239">
        <v>2</v>
      </c>
      <c r="F81" s="240">
        <v>290.5</v>
      </c>
      <c r="G81" s="240">
        <f t="shared" si="6"/>
        <v>435.75</v>
      </c>
    </row>
    <row r="82" spans="1:7" x14ac:dyDescent="0.25">
      <c r="A82" s="237" t="s">
        <v>294</v>
      </c>
      <c r="B82" s="237" t="s">
        <v>295</v>
      </c>
      <c r="C82" s="241" t="s">
        <v>305</v>
      </c>
      <c r="D82" s="239">
        <v>0.75</v>
      </c>
      <c r="E82" s="239">
        <v>5</v>
      </c>
      <c r="F82" s="240">
        <v>290.5</v>
      </c>
      <c r="G82" s="240">
        <f t="shared" si="6"/>
        <v>1089.375</v>
      </c>
    </row>
    <row r="83" spans="1:7" x14ac:dyDescent="0.25">
      <c r="A83" s="237" t="s">
        <v>294</v>
      </c>
      <c r="B83" s="237" t="s">
        <v>295</v>
      </c>
      <c r="C83" s="241" t="s">
        <v>306</v>
      </c>
      <c r="D83" s="239">
        <v>0.75</v>
      </c>
      <c r="E83" s="239">
        <v>1</v>
      </c>
      <c r="F83" s="240">
        <v>290.5</v>
      </c>
      <c r="G83" s="240">
        <f t="shared" si="6"/>
        <v>217.875</v>
      </c>
    </row>
    <row r="84" spans="1:7" x14ac:dyDescent="0.25">
      <c r="A84" s="237" t="s">
        <v>294</v>
      </c>
      <c r="B84" s="237" t="s">
        <v>295</v>
      </c>
      <c r="C84" s="241" t="s">
        <v>307</v>
      </c>
      <c r="D84" s="239">
        <v>0.75</v>
      </c>
      <c r="E84" s="239">
        <v>2</v>
      </c>
      <c r="F84" s="240">
        <v>290.5</v>
      </c>
      <c r="G84" s="240">
        <f t="shared" si="6"/>
        <v>435.75</v>
      </c>
    </row>
    <row r="85" spans="1:7" x14ac:dyDescent="0.25">
      <c r="A85" s="242"/>
      <c r="B85" s="242"/>
      <c r="C85" s="242"/>
      <c r="D85" s="242"/>
      <c r="E85" s="242"/>
      <c r="F85" s="242" t="s">
        <v>309</v>
      </c>
      <c r="G85" s="243">
        <f>SUM(G73:G84)</f>
        <v>4793.25</v>
      </c>
    </row>
    <row r="86" spans="1:7" ht="25.5" x14ac:dyDescent="0.25">
      <c r="A86" s="251" t="s">
        <v>279</v>
      </c>
      <c r="B86" s="252">
        <v>5</v>
      </c>
      <c r="C86" s="253" t="s">
        <v>326</v>
      </c>
      <c r="D86" s="252" t="s">
        <v>280</v>
      </c>
      <c r="E86" s="254" t="s">
        <v>281</v>
      </c>
      <c r="F86" s="254" t="s">
        <v>282</v>
      </c>
      <c r="G86" s="255" t="s">
        <v>283</v>
      </c>
    </row>
    <row r="87" spans="1:7" x14ac:dyDescent="0.25">
      <c r="A87" s="217"/>
      <c r="B87" s="218"/>
      <c r="C87" s="219" t="s">
        <v>327</v>
      </c>
      <c r="D87" s="218" t="s">
        <v>284</v>
      </c>
      <c r="E87" s="220" t="s">
        <v>285</v>
      </c>
      <c r="F87" s="220"/>
      <c r="G87" s="221"/>
    </row>
    <row r="88" spans="1:7" ht="25.5" x14ac:dyDescent="0.25">
      <c r="A88" s="217" t="s">
        <v>318</v>
      </c>
      <c r="B88" s="218">
        <v>4417</v>
      </c>
      <c r="C88" s="222" t="s">
        <v>319</v>
      </c>
      <c r="D88" s="218" t="s">
        <v>284</v>
      </c>
      <c r="E88" s="249">
        <v>1</v>
      </c>
      <c r="F88" s="224">
        <v>4.32</v>
      </c>
      <c r="G88" s="250">
        <f>F88*E88</f>
        <v>4.32</v>
      </c>
    </row>
    <row r="89" spans="1:7" x14ac:dyDescent="0.25">
      <c r="A89" s="217" t="s">
        <v>318</v>
      </c>
      <c r="B89" s="217">
        <v>4491</v>
      </c>
      <c r="C89" s="222" t="s">
        <v>320</v>
      </c>
      <c r="D89" s="218" t="s">
        <v>284</v>
      </c>
      <c r="E89" s="249">
        <v>4</v>
      </c>
      <c r="F89" s="224">
        <v>6.44</v>
      </c>
      <c r="G89" s="225">
        <f>F89*E89</f>
        <v>25.76</v>
      </c>
    </row>
    <row r="90" spans="1:7" ht="25.5" x14ac:dyDescent="0.25">
      <c r="A90" s="217" t="s">
        <v>318</v>
      </c>
      <c r="B90" s="217">
        <v>4813</v>
      </c>
      <c r="C90" s="222" t="s">
        <v>321</v>
      </c>
      <c r="D90" s="218" t="s">
        <v>284</v>
      </c>
      <c r="E90" s="249">
        <v>1</v>
      </c>
      <c r="F90" s="224">
        <v>225</v>
      </c>
      <c r="G90" s="225">
        <f>F90*E90</f>
        <v>225</v>
      </c>
    </row>
    <row r="91" spans="1:7" x14ac:dyDescent="0.25">
      <c r="A91" s="217" t="s">
        <v>318</v>
      </c>
      <c r="B91" s="217">
        <v>5075</v>
      </c>
      <c r="C91" s="222" t="s">
        <v>322</v>
      </c>
      <c r="D91" s="218" t="s">
        <v>121</v>
      </c>
      <c r="E91" s="249">
        <v>0.11</v>
      </c>
      <c r="F91" s="224">
        <v>21.16</v>
      </c>
      <c r="G91" s="225">
        <f t="shared" ref="G91:G95" si="7">F91*E91</f>
        <v>2.3275999999999999</v>
      </c>
    </row>
    <row r="92" spans="1:7" x14ac:dyDescent="0.25">
      <c r="A92" s="217" t="s">
        <v>323</v>
      </c>
      <c r="B92" s="217">
        <v>88262</v>
      </c>
      <c r="C92" s="222" t="s">
        <v>324</v>
      </c>
      <c r="D92" s="218" t="s">
        <v>89</v>
      </c>
      <c r="E92" s="249">
        <v>1</v>
      </c>
      <c r="F92" s="224">
        <v>22.53</v>
      </c>
      <c r="G92" s="225">
        <f t="shared" si="7"/>
        <v>22.53</v>
      </c>
    </row>
    <row r="93" spans="1:7" x14ac:dyDescent="0.25">
      <c r="A93" s="217" t="s">
        <v>323</v>
      </c>
      <c r="B93" s="217">
        <v>88316</v>
      </c>
      <c r="C93" s="222" t="s">
        <v>142</v>
      </c>
      <c r="D93" s="218" t="s">
        <v>89</v>
      </c>
      <c r="E93" s="249">
        <v>2</v>
      </c>
      <c r="F93" s="224">
        <v>18.84</v>
      </c>
      <c r="G93" s="225">
        <f t="shared" si="7"/>
        <v>37.68</v>
      </c>
    </row>
    <row r="94" spans="1:7" ht="25.5" x14ac:dyDescent="0.25">
      <c r="A94" s="217" t="s">
        <v>323</v>
      </c>
      <c r="B94" s="218">
        <v>94962</v>
      </c>
      <c r="C94" s="222" t="s">
        <v>325</v>
      </c>
      <c r="D94" s="218" t="s">
        <v>71</v>
      </c>
      <c r="E94" s="220">
        <v>0.01</v>
      </c>
      <c r="F94" s="224">
        <v>345.57</v>
      </c>
      <c r="G94" s="225">
        <f t="shared" si="7"/>
        <v>3.4557000000000002</v>
      </c>
    </row>
    <row r="95" spans="1:7" x14ac:dyDescent="0.25">
      <c r="A95" s="217"/>
      <c r="B95" s="218"/>
      <c r="C95" s="222"/>
      <c r="D95" s="218"/>
      <c r="E95" s="220"/>
      <c r="F95" s="224"/>
      <c r="G95" s="225">
        <f t="shared" si="7"/>
        <v>0</v>
      </c>
    </row>
    <row r="96" spans="1:7" ht="15.75" thickBot="1" x14ac:dyDescent="0.3">
      <c r="A96" s="226"/>
      <c r="B96" s="227"/>
      <c r="C96" s="228"/>
      <c r="D96" s="227"/>
      <c r="E96" s="229"/>
      <c r="F96" s="230" t="s">
        <v>171</v>
      </c>
      <c r="G96" s="231">
        <f>SUM(G88:G95)</f>
        <v>321.07329999999996</v>
      </c>
    </row>
    <row r="99" spans="1:7" ht="25.5" x14ac:dyDescent="0.25">
      <c r="A99" s="251" t="s">
        <v>279</v>
      </c>
      <c r="B99" s="252">
        <v>6</v>
      </c>
      <c r="C99" s="253" t="s">
        <v>347</v>
      </c>
      <c r="D99" s="252" t="s">
        <v>280</v>
      </c>
      <c r="E99" s="254" t="s">
        <v>281</v>
      </c>
      <c r="F99" s="254" t="s">
        <v>282</v>
      </c>
      <c r="G99" s="255" t="s">
        <v>283</v>
      </c>
    </row>
    <row r="100" spans="1:7" x14ac:dyDescent="0.25">
      <c r="A100" s="217"/>
      <c r="B100" s="218"/>
      <c r="C100" s="219" t="s">
        <v>327</v>
      </c>
      <c r="D100" s="218" t="s">
        <v>284</v>
      </c>
      <c r="E100" s="220" t="s">
        <v>285</v>
      </c>
      <c r="F100" s="220"/>
      <c r="G100" s="221"/>
    </row>
    <row r="101" spans="1:7" ht="25.5" x14ac:dyDescent="0.25">
      <c r="A101" s="217">
        <v>4460</v>
      </c>
      <c r="B101" s="218" t="s">
        <v>115</v>
      </c>
      <c r="C101" s="222" t="s">
        <v>332</v>
      </c>
      <c r="D101" s="218" t="s">
        <v>333</v>
      </c>
      <c r="E101" s="249">
        <v>2.8900000000000002E-3</v>
      </c>
      <c r="F101" s="224">
        <v>5.61</v>
      </c>
      <c r="G101" s="250">
        <f>F101*E101</f>
        <v>1.6212900000000002E-2</v>
      </c>
    </row>
    <row r="102" spans="1:7" ht="25.5" x14ac:dyDescent="0.25">
      <c r="A102" s="217">
        <v>88253</v>
      </c>
      <c r="B102" s="217" t="s">
        <v>334</v>
      </c>
      <c r="C102" s="222" t="s">
        <v>335</v>
      </c>
      <c r="D102" s="218" t="s">
        <v>89</v>
      </c>
      <c r="E102" s="249">
        <v>2.5000000000000001E-3</v>
      </c>
      <c r="F102" s="224">
        <v>14.84</v>
      </c>
      <c r="G102" s="225">
        <f>F102*E102</f>
        <v>3.7100000000000001E-2</v>
      </c>
    </row>
    <row r="103" spans="1:7" ht="25.5" x14ac:dyDescent="0.25">
      <c r="A103" s="217">
        <v>88288</v>
      </c>
      <c r="B103" s="217" t="s">
        <v>334</v>
      </c>
      <c r="C103" s="222" t="s">
        <v>336</v>
      </c>
      <c r="D103" s="218" t="s">
        <v>89</v>
      </c>
      <c r="E103" s="249">
        <v>2.5000000000000001E-3</v>
      </c>
      <c r="F103" s="224">
        <v>18.309999999999999</v>
      </c>
      <c r="G103" s="225">
        <f>F103*E103</f>
        <v>4.5774999999999996E-2</v>
      </c>
    </row>
    <row r="104" spans="1:7" x14ac:dyDescent="0.25">
      <c r="A104" s="217"/>
      <c r="B104" s="217">
        <v>7592</v>
      </c>
      <c r="C104" s="222" t="s">
        <v>337</v>
      </c>
      <c r="D104" s="218" t="s">
        <v>89</v>
      </c>
      <c r="E104" s="249">
        <v>0.02</v>
      </c>
      <c r="F104" s="224">
        <v>32.35</v>
      </c>
      <c r="G104" s="225">
        <f>F104*E104</f>
        <v>0.64700000000000002</v>
      </c>
    </row>
    <row r="105" spans="1:7" ht="25.5" x14ac:dyDescent="0.25">
      <c r="A105" s="217">
        <v>88316</v>
      </c>
      <c r="B105" s="217" t="s">
        <v>334</v>
      </c>
      <c r="C105" s="222" t="s">
        <v>142</v>
      </c>
      <c r="D105" s="218" t="s">
        <v>89</v>
      </c>
      <c r="E105" s="249">
        <v>7.4999999999999997E-3</v>
      </c>
      <c r="F105" s="224">
        <v>18.84</v>
      </c>
      <c r="G105" s="225">
        <f t="shared" ref="G105:G109" si="8">F105*E105</f>
        <v>0.14129999999999998</v>
      </c>
    </row>
    <row r="106" spans="1:7" ht="25.5" x14ac:dyDescent="0.25">
      <c r="A106" s="217">
        <v>88597</v>
      </c>
      <c r="B106" s="217" t="s">
        <v>334</v>
      </c>
      <c r="C106" s="222" t="s">
        <v>338</v>
      </c>
      <c r="D106" s="218" t="s">
        <v>89</v>
      </c>
      <c r="E106" s="249">
        <v>2E-3</v>
      </c>
      <c r="F106" s="224">
        <v>39.68</v>
      </c>
      <c r="G106" s="225">
        <f t="shared" si="8"/>
        <v>7.936E-2</v>
      </c>
    </row>
    <row r="107" spans="1:7" ht="25.5" x14ac:dyDescent="0.25">
      <c r="A107" s="217">
        <v>92145</v>
      </c>
      <c r="B107" s="217" t="s">
        <v>334</v>
      </c>
      <c r="C107" s="222" t="s">
        <v>339</v>
      </c>
      <c r="D107" s="218" t="s">
        <v>81</v>
      </c>
      <c r="E107" s="249">
        <v>1E-3</v>
      </c>
      <c r="F107" s="224">
        <v>75.94</v>
      </c>
      <c r="G107" s="225">
        <f t="shared" si="8"/>
        <v>7.5939999999999994E-2</v>
      </c>
    </row>
    <row r="108" spans="1:7" x14ac:dyDescent="0.25">
      <c r="A108" s="217"/>
      <c r="B108" s="218"/>
      <c r="C108" s="222"/>
      <c r="D108" s="218"/>
      <c r="E108" s="220"/>
      <c r="F108" s="224"/>
      <c r="G108" s="225"/>
    </row>
    <row r="109" spans="1:7" x14ac:dyDescent="0.25">
      <c r="A109" s="217"/>
      <c r="B109" s="218"/>
      <c r="C109" s="222"/>
      <c r="D109" s="218"/>
      <c r="E109" s="220"/>
      <c r="F109" s="224"/>
      <c r="G109" s="225">
        <f t="shared" si="8"/>
        <v>0</v>
      </c>
    </row>
    <row r="110" spans="1:7" ht="15.75" thickBot="1" x14ac:dyDescent="0.3">
      <c r="A110" s="226"/>
      <c r="B110" s="227"/>
      <c r="C110" s="228"/>
      <c r="D110" s="227"/>
      <c r="E110" s="229"/>
      <c r="F110" s="230" t="s">
        <v>171</v>
      </c>
      <c r="G110" s="231">
        <f>SUM(G101:G109)</f>
        <v>1.0426879</v>
      </c>
    </row>
    <row r="113" spans="1:7" ht="25.5" x14ac:dyDescent="0.25">
      <c r="A113" s="251" t="s">
        <v>348</v>
      </c>
      <c r="B113" s="252">
        <v>7</v>
      </c>
      <c r="C113" s="253" t="s">
        <v>349</v>
      </c>
      <c r="D113" s="252" t="s">
        <v>280</v>
      </c>
      <c r="E113" s="254" t="s">
        <v>281</v>
      </c>
      <c r="F113" s="254" t="s">
        <v>282</v>
      </c>
      <c r="G113" s="255" t="s">
        <v>283</v>
      </c>
    </row>
    <row r="114" spans="1:7" x14ac:dyDescent="0.25">
      <c r="A114" s="217"/>
      <c r="B114" s="218"/>
      <c r="C114" s="219" t="s">
        <v>327</v>
      </c>
      <c r="D114" s="218" t="s">
        <v>28</v>
      </c>
      <c r="E114" s="220" t="s">
        <v>285</v>
      </c>
      <c r="F114" s="220"/>
      <c r="G114" s="221"/>
    </row>
    <row r="115" spans="1:7" x14ac:dyDescent="0.25">
      <c r="A115" s="217"/>
      <c r="B115" s="218">
        <v>2707</v>
      </c>
      <c r="C115" s="222" t="s">
        <v>341</v>
      </c>
      <c r="D115" s="218" t="s">
        <v>27</v>
      </c>
      <c r="E115" s="249">
        <f>2*22</f>
        <v>44</v>
      </c>
      <c r="F115" s="224">
        <v>111.69</v>
      </c>
      <c r="G115" s="250">
        <f>F115*E115</f>
        <v>4914.3599999999997</v>
      </c>
    </row>
    <row r="116" spans="1:7" x14ac:dyDescent="0.25">
      <c r="A116" s="217"/>
      <c r="B116" s="217">
        <v>40818</v>
      </c>
      <c r="C116" s="222" t="s">
        <v>342</v>
      </c>
      <c r="D116" s="218" t="s">
        <v>28</v>
      </c>
      <c r="E116" s="249">
        <v>1</v>
      </c>
      <c r="F116" s="224">
        <v>8129.24</v>
      </c>
      <c r="G116" s="225">
        <f>F116*E116</f>
        <v>8129.24</v>
      </c>
    </row>
    <row r="117" spans="1:7" x14ac:dyDescent="0.25">
      <c r="A117" s="217"/>
      <c r="B117" s="217">
        <v>40943</v>
      </c>
      <c r="C117" s="222" t="s">
        <v>343</v>
      </c>
      <c r="D117" s="218" t="s">
        <v>27</v>
      </c>
      <c r="E117" s="249">
        <f>4*4</f>
        <v>16</v>
      </c>
      <c r="F117" s="224">
        <v>32.06</v>
      </c>
      <c r="G117" s="225">
        <f>F117*E117</f>
        <v>512.96</v>
      </c>
    </row>
    <row r="118" spans="1:7" x14ac:dyDescent="0.25">
      <c r="A118" s="217"/>
      <c r="B118" s="217">
        <v>7153</v>
      </c>
      <c r="C118" s="222" t="s">
        <v>344</v>
      </c>
      <c r="D118" s="218" t="s">
        <v>27</v>
      </c>
      <c r="E118" s="249">
        <v>20</v>
      </c>
      <c r="F118" s="224">
        <v>27.79</v>
      </c>
      <c r="G118" s="225">
        <f>F118*E118</f>
        <v>555.79999999999995</v>
      </c>
    </row>
    <row r="119" spans="1:7" x14ac:dyDescent="0.25">
      <c r="A119" s="217"/>
      <c r="B119" s="217">
        <v>92138</v>
      </c>
      <c r="C119" s="222" t="s">
        <v>345</v>
      </c>
      <c r="D119" s="218" t="s">
        <v>346</v>
      </c>
      <c r="E119" s="249">
        <v>35</v>
      </c>
      <c r="F119" s="224">
        <v>91.23</v>
      </c>
      <c r="G119" s="225">
        <f t="shared" ref="G119:G120" si="9">F119*E119</f>
        <v>3193.05</v>
      </c>
    </row>
    <row r="120" spans="1:7" x14ac:dyDescent="0.25">
      <c r="A120" s="217"/>
      <c r="B120" s="217"/>
      <c r="C120" s="222"/>
      <c r="D120" s="218"/>
      <c r="E120" s="249"/>
      <c r="F120" s="224"/>
      <c r="G120" s="225">
        <f t="shared" si="9"/>
        <v>0</v>
      </c>
    </row>
    <row r="121" spans="1:7" x14ac:dyDescent="0.25">
      <c r="A121" s="217"/>
      <c r="B121" s="218"/>
      <c r="C121" s="222"/>
      <c r="D121" s="218"/>
      <c r="E121" s="220"/>
      <c r="F121" s="224"/>
      <c r="G121" s="225"/>
    </row>
    <row r="122" spans="1:7" x14ac:dyDescent="0.25">
      <c r="A122" s="217"/>
      <c r="B122" s="218"/>
      <c r="C122" s="222"/>
      <c r="D122" s="218"/>
      <c r="E122" s="220"/>
      <c r="F122" s="224"/>
      <c r="G122" s="225">
        <f t="shared" ref="G122" si="10">F122*E122</f>
        <v>0</v>
      </c>
    </row>
    <row r="123" spans="1:7" ht="15.75" thickBot="1" x14ac:dyDescent="0.3">
      <c r="A123" s="226"/>
      <c r="B123" s="227"/>
      <c r="C123" s="228"/>
      <c r="D123" s="227"/>
      <c r="E123" s="229"/>
      <c r="F123" s="230" t="s">
        <v>171</v>
      </c>
      <c r="G123" s="231">
        <f>SUM(G115:G122)</f>
        <v>17305.409999999996</v>
      </c>
    </row>
    <row r="124" spans="1:7" x14ac:dyDescent="0.25">
      <c r="A124" s="257"/>
      <c r="B124" s="257"/>
      <c r="C124" s="258"/>
      <c r="D124" s="257"/>
      <c r="E124" s="259"/>
      <c r="F124" s="260" t="s">
        <v>350</v>
      </c>
      <c r="G124" s="261">
        <f>G123*6</f>
        <v>103832.45999999998</v>
      </c>
    </row>
  </sheetData>
  <mergeCells count="3">
    <mergeCell ref="A13:F13"/>
    <mergeCell ref="A30:F30"/>
    <mergeCell ref="A44:F44"/>
  </mergeCells>
  <conditionalFormatting sqref="A1:E12">
    <cfRule type="expression" dxfId="96" priority="95" stopIfTrue="1">
      <formula>AND($A1&lt;&gt;"COMPOSICAO",$A1&lt;&gt;"INSUMO",$A1&lt;&gt;"")</formula>
    </cfRule>
    <cfRule type="expression" dxfId="95" priority="96" stopIfTrue="1">
      <formula>AND(OR($A1="COMPOSICAO",$A1="INSUMO",$A1&lt;&gt;""),$A1&lt;&gt;"")</formula>
    </cfRule>
  </conditionalFormatting>
  <conditionalFormatting sqref="F2:F12">
    <cfRule type="expression" dxfId="94" priority="93" stopIfTrue="1">
      <formula>AND($A2&lt;&gt;"COMPOSICAO",$A2&lt;&gt;"INSUMO",$A2&lt;&gt;"")</formula>
    </cfRule>
    <cfRule type="expression" dxfId="93" priority="94" stopIfTrue="1">
      <formula>AND(OR($A2="COMPOSICAO",$A2="INSUMO",$A2&lt;&gt;""),$A2&lt;&gt;"")</formula>
    </cfRule>
  </conditionalFormatting>
  <conditionalFormatting sqref="A13">
    <cfRule type="expression" dxfId="92" priority="81" stopIfTrue="1">
      <formula>AND($A13&lt;&gt;"COMPOSICAO",$A13&lt;&gt;"INSUMO",$A13&lt;&gt;"")</formula>
    </cfRule>
    <cfRule type="expression" dxfId="91" priority="82" stopIfTrue="1">
      <formula>AND(OR($A13="COMPOSICAO",$A13="INSUMO",$A13&lt;&gt;""),$A13&lt;&gt;"")</formula>
    </cfRule>
  </conditionalFormatting>
  <conditionalFormatting sqref="A16:F29 A15:D15">
    <cfRule type="expression" dxfId="90" priority="79" stopIfTrue="1">
      <formula>AND($A15&lt;&gt;"COMPOSICAO",$A15&lt;&gt;"INSUMO",$A15&lt;&gt;"")</formula>
    </cfRule>
    <cfRule type="expression" dxfId="89" priority="80" stopIfTrue="1">
      <formula>AND(OR($A15="COMPOSICAO",$A15="INSUMO",$A15&lt;&gt;""),$A15&lt;&gt;"")</formula>
    </cfRule>
  </conditionalFormatting>
  <conditionalFormatting sqref="E15">
    <cfRule type="expression" dxfId="88" priority="77" stopIfTrue="1">
      <formula>AND($A15&lt;&gt;"COMPOSICAO",$A15&lt;&gt;"INSUMO",$A15&lt;&gt;"")</formula>
    </cfRule>
    <cfRule type="expression" dxfId="87" priority="78" stopIfTrue="1">
      <formula>AND(OR($A15="COMPOSICAO",$A15="INSUMO",$A15&lt;&gt;""),$A15&lt;&gt;"")</formula>
    </cfRule>
  </conditionalFormatting>
  <conditionalFormatting sqref="G13">
    <cfRule type="expression" dxfId="86" priority="83" stopIfTrue="1">
      <formula>AND(#REF!&lt;&gt;"COMPOSICAO",#REF!&lt;&gt;"INSUMO",#REF!&lt;&gt;"")</formula>
    </cfRule>
    <cfRule type="expression" dxfId="85" priority="84" stopIfTrue="1">
      <formula>AND(OR(#REF!="COMPOSICAO",#REF!="INSUMO",#REF!&lt;&gt;""),#REF!&lt;&gt;"")</formula>
    </cfRule>
  </conditionalFormatting>
  <conditionalFormatting sqref="F1">
    <cfRule type="expression" dxfId="84" priority="91" stopIfTrue="1">
      <formula>AND(#REF!&lt;&gt;"COMPOSICAO",#REF!&lt;&gt;"INSUMO",#REF!&lt;&gt;"")</formula>
    </cfRule>
    <cfRule type="expression" dxfId="83" priority="92" stopIfTrue="1">
      <formula>AND(OR(#REF!="COMPOSICAO",#REF!="INSUMO",#REF!&lt;&gt;""),#REF!&lt;&gt;"")</formula>
    </cfRule>
  </conditionalFormatting>
  <conditionalFormatting sqref="G2">
    <cfRule type="expression" dxfId="82" priority="89" stopIfTrue="1">
      <formula>AND(#REF!&lt;&gt;"COMPOSICAO",#REF!&lt;&gt;"INSUMO",#REF!&lt;&gt;"")</formula>
    </cfRule>
    <cfRule type="expression" dxfId="81" priority="90" stopIfTrue="1">
      <formula>AND(OR(#REF!="COMPOSICAO",#REF!="INSUMO",#REF!&lt;&gt;""),#REF!&lt;&gt;"")</formula>
    </cfRule>
  </conditionalFormatting>
  <conditionalFormatting sqref="G3:G12">
    <cfRule type="expression" dxfId="80" priority="87" stopIfTrue="1">
      <formula>AND(#REF!&lt;&gt;"COMPOSICAO",#REF!&lt;&gt;"INSUMO",#REF!&lt;&gt;"")</formula>
    </cfRule>
    <cfRule type="expression" dxfId="79" priority="88" stopIfTrue="1">
      <formula>AND(OR(#REF!="COMPOSICAO",#REF!="INSUMO",#REF!&lt;&gt;""),#REF!&lt;&gt;"")</formula>
    </cfRule>
  </conditionalFormatting>
  <conditionalFormatting sqref="G3:G12">
    <cfRule type="expression" dxfId="78" priority="85" stopIfTrue="1">
      <formula>AND(#REF!&lt;&gt;"COMPOSICAO",#REF!&lt;&gt;"INSUMO",#REF!&lt;&gt;"")</formula>
    </cfRule>
    <cfRule type="expression" dxfId="77" priority="86" stopIfTrue="1">
      <formula>AND(OR(#REF!="COMPOSICAO",#REF!="INSUMO",#REF!&lt;&gt;""),#REF!&lt;&gt;"")</formula>
    </cfRule>
  </conditionalFormatting>
  <conditionalFormatting sqref="F15">
    <cfRule type="expression" dxfId="76" priority="75" stopIfTrue="1">
      <formula>AND(#REF!&lt;&gt;"COMPOSICAO",#REF!&lt;&gt;"INSUMO",#REF!&lt;&gt;"")</formula>
    </cfRule>
    <cfRule type="expression" dxfId="75" priority="76" stopIfTrue="1">
      <formula>AND(OR(#REF!="COMPOSICAO",#REF!="INSUMO",#REF!&lt;&gt;""),#REF!&lt;&gt;"")</formula>
    </cfRule>
  </conditionalFormatting>
  <conditionalFormatting sqref="G16">
    <cfRule type="expression" dxfId="74" priority="73" stopIfTrue="1">
      <formula>AND(#REF!&lt;&gt;"COMPOSICAO",#REF!&lt;&gt;"INSUMO",#REF!&lt;&gt;"")</formula>
    </cfRule>
    <cfRule type="expression" dxfId="73" priority="74" stopIfTrue="1">
      <formula>AND(OR(#REF!="COMPOSICAO",#REF!="INSUMO",#REF!&lt;&gt;""),#REF!&lt;&gt;"")</formula>
    </cfRule>
  </conditionalFormatting>
  <conditionalFormatting sqref="G17:G24">
    <cfRule type="expression" dxfId="72" priority="71" stopIfTrue="1">
      <formula>AND(#REF!&lt;&gt;"COMPOSICAO",#REF!&lt;&gt;"INSUMO",#REF!&lt;&gt;"")</formula>
    </cfRule>
    <cfRule type="expression" dxfId="71" priority="72" stopIfTrue="1">
      <formula>AND(OR(#REF!="COMPOSICAO",#REF!="INSUMO",#REF!&lt;&gt;""),#REF!&lt;&gt;"")</formula>
    </cfRule>
  </conditionalFormatting>
  <conditionalFormatting sqref="G17:G24">
    <cfRule type="expression" dxfId="70" priority="69" stopIfTrue="1">
      <formula>AND(#REF!&lt;&gt;"COMPOSICAO",#REF!&lt;&gt;"INSUMO",#REF!&lt;&gt;"")</formula>
    </cfRule>
    <cfRule type="expression" dxfId="69" priority="70" stopIfTrue="1">
      <formula>AND(OR(#REF!="COMPOSICAO",#REF!="INSUMO",#REF!&lt;&gt;""),#REF!&lt;&gt;"")</formula>
    </cfRule>
  </conditionalFormatting>
  <conditionalFormatting sqref="G25:G29">
    <cfRule type="expression" dxfId="68" priority="67" stopIfTrue="1">
      <formula>AND(#REF!&lt;&gt;"COMPOSICAO",#REF!&lt;&gt;"INSUMO",#REF!&lt;&gt;"")</formula>
    </cfRule>
    <cfRule type="expression" dxfId="67" priority="68" stopIfTrue="1">
      <formula>AND(OR(#REF!="COMPOSICAO",#REF!="INSUMO",#REF!&lt;&gt;""),#REF!&lt;&gt;"")</formula>
    </cfRule>
  </conditionalFormatting>
  <conditionalFormatting sqref="G25:G29">
    <cfRule type="expression" dxfId="66" priority="65" stopIfTrue="1">
      <formula>AND(#REF!&lt;&gt;"COMPOSICAO",#REF!&lt;&gt;"INSUMO",#REF!&lt;&gt;"")</formula>
    </cfRule>
    <cfRule type="expression" dxfId="65" priority="66" stopIfTrue="1">
      <formula>AND(OR(#REF!="COMPOSICAO",#REF!="INSUMO",#REF!&lt;&gt;""),#REF!&lt;&gt;"")</formula>
    </cfRule>
  </conditionalFormatting>
  <conditionalFormatting sqref="A32:D32 A33:F43 A44">
    <cfRule type="expression" dxfId="64" priority="63" stopIfTrue="1">
      <formula>AND($A32&lt;&gt;"COMPOSICAO",$A32&lt;&gt;"INSUMO",$A32&lt;&gt;"")</formula>
    </cfRule>
    <cfRule type="expression" dxfId="63" priority="64" stopIfTrue="1">
      <formula>AND(OR($A32="COMPOSICAO",$A32="INSUMO",$A32&lt;&gt;""),$A32&lt;&gt;"")</formula>
    </cfRule>
  </conditionalFormatting>
  <conditionalFormatting sqref="A47:E60 A46:D46">
    <cfRule type="expression" dxfId="62" priority="51" stopIfTrue="1">
      <formula>AND($A46&lt;&gt;"COMPOSICAO",$A46&lt;&gt;"INSUMO",$A46&lt;&gt;"")</formula>
    </cfRule>
    <cfRule type="expression" dxfId="61" priority="52" stopIfTrue="1">
      <formula>AND(OR($A46="COMPOSICAO",$A46="INSUMO",$A46&lt;&gt;""),$A46&lt;&gt;"")</formula>
    </cfRule>
  </conditionalFormatting>
  <conditionalFormatting sqref="E46">
    <cfRule type="expression" dxfId="60" priority="37" stopIfTrue="1">
      <formula>AND($A46&lt;&gt;"COMPOSICAO",$A46&lt;&gt;"INSUMO",$A46&lt;&gt;"")</formula>
    </cfRule>
    <cfRule type="expression" dxfId="59" priority="38" stopIfTrue="1">
      <formula>AND(OR($A46="COMPOSICAO",$A46="INSUMO",$A46&lt;&gt;""),$A46&lt;&gt;"")</formula>
    </cfRule>
  </conditionalFormatting>
  <conditionalFormatting sqref="E32">
    <cfRule type="expression" dxfId="58" priority="35" stopIfTrue="1">
      <formula>AND($A32&lt;&gt;"COMPOSICAO",$A32&lt;&gt;"INSUMO",$A32&lt;&gt;"")</formula>
    </cfRule>
    <cfRule type="expression" dxfId="57" priority="36" stopIfTrue="1">
      <formula>AND(OR($A32="COMPOSICAO",$A32="INSUMO",$A32&lt;&gt;""),$A32&lt;&gt;"")</formula>
    </cfRule>
  </conditionalFormatting>
  <conditionalFormatting sqref="F47:F60">
    <cfRule type="expression" dxfId="56" priority="33" stopIfTrue="1">
      <formula>AND($A47&lt;&gt;"COMPOSICAO",$A47&lt;&gt;"INSUMO",$A47&lt;&gt;"")</formula>
    </cfRule>
    <cfRule type="expression" dxfId="55" priority="34" stopIfTrue="1">
      <formula>AND(OR($A47="COMPOSICAO",$A47="INSUMO",$A47&lt;&gt;""),$A47&lt;&gt;"")</formula>
    </cfRule>
  </conditionalFormatting>
  <conditionalFormatting sqref="F32">
    <cfRule type="expression" dxfId="54" priority="61" stopIfTrue="1">
      <formula>AND(#REF!&lt;&gt;"COMPOSICAO",#REF!&lt;&gt;"INSUMO",#REF!&lt;&gt;"")</formula>
    </cfRule>
    <cfRule type="expression" dxfId="53" priority="62" stopIfTrue="1">
      <formula>AND(OR(#REF!="COMPOSICAO",#REF!="INSUMO",#REF!&lt;&gt;""),#REF!&lt;&gt;"")</formula>
    </cfRule>
  </conditionalFormatting>
  <conditionalFormatting sqref="G33">
    <cfRule type="expression" dxfId="52" priority="59" stopIfTrue="1">
      <formula>AND(#REF!&lt;&gt;"COMPOSICAO",#REF!&lt;&gt;"INSUMO",#REF!&lt;&gt;"")</formula>
    </cfRule>
    <cfRule type="expression" dxfId="51" priority="60" stopIfTrue="1">
      <formula>AND(OR(#REF!="COMPOSICAO",#REF!="INSUMO",#REF!&lt;&gt;""),#REF!&lt;&gt;"")</formula>
    </cfRule>
  </conditionalFormatting>
  <conditionalFormatting sqref="G34:G43">
    <cfRule type="expression" dxfId="50" priority="57" stopIfTrue="1">
      <formula>AND(#REF!&lt;&gt;"COMPOSICAO",#REF!&lt;&gt;"INSUMO",#REF!&lt;&gt;"")</formula>
    </cfRule>
    <cfRule type="expression" dxfId="49" priority="58" stopIfTrue="1">
      <formula>AND(OR(#REF!="COMPOSICAO",#REF!="INSUMO",#REF!&lt;&gt;""),#REF!&lt;&gt;"")</formula>
    </cfRule>
  </conditionalFormatting>
  <conditionalFormatting sqref="G34:G43">
    <cfRule type="expression" dxfId="48" priority="55" stopIfTrue="1">
      <formula>AND(#REF!&lt;&gt;"COMPOSICAO",#REF!&lt;&gt;"INSUMO",#REF!&lt;&gt;"")</formula>
    </cfRule>
    <cfRule type="expression" dxfId="47" priority="56" stopIfTrue="1">
      <formula>AND(OR(#REF!="COMPOSICAO",#REF!="INSUMO",#REF!&lt;&gt;""),#REF!&lt;&gt;"")</formula>
    </cfRule>
  </conditionalFormatting>
  <conditionalFormatting sqref="G44">
    <cfRule type="expression" dxfId="46" priority="53" stopIfTrue="1">
      <formula>AND(#REF!&lt;&gt;"COMPOSICAO",#REF!&lt;&gt;"INSUMO",#REF!&lt;&gt;"")</formula>
    </cfRule>
    <cfRule type="expression" dxfId="45" priority="54" stopIfTrue="1">
      <formula>AND(OR(#REF!="COMPOSICAO",#REF!="INSUMO",#REF!&lt;&gt;""),#REF!&lt;&gt;"")</formula>
    </cfRule>
  </conditionalFormatting>
  <conditionalFormatting sqref="F46">
    <cfRule type="expression" dxfId="44" priority="49" stopIfTrue="1">
      <formula>AND(#REF!&lt;&gt;"COMPOSICAO",#REF!&lt;&gt;"INSUMO",#REF!&lt;&gt;"")</formula>
    </cfRule>
    <cfRule type="expression" dxfId="43" priority="50" stopIfTrue="1">
      <formula>AND(OR(#REF!="COMPOSICAO",#REF!="INSUMO",#REF!&lt;&gt;""),#REF!&lt;&gt;"")</formula>
    </cfRule>
  </conditionalFormatting>
  <conditionalFormatting sqref="G47">
    <cfRule type="expression" dxfId="42" priority="47" stopIfTrue="1">
      <formula>AND(#REF!&lt;&gt;"COMPOSICAO",#REF!&lt;&gt;"INSUMO",#REF!&lt;&gt;"")</formula>
    </cfRule>
    <cfRule type="expression" dxfId="41" priority="48" stopIfTrue="1">
      <formula>AND(OR(#REF!="COMPOSICAO",#REF!="INSUMO",#REF!&lt;&gt;""),#REF!&lt;&gt;"")</formula>
    </cfRule>
  </conditionalFormatting>
  <conditionalFormatting sqref="G48:G55">
    <cfRule type="expression" dxfId="40" priority="45" stopIfTrue="1">
      <formula>AND(#REF!&lt;&gt;"COMPOSICAO",#REF!&lt;&gt;"INSUMO",#REF!&lt;&gt;"")</formula>
    </cfRule>
    <cfRule type="expression" dxfId="39" priority="46" stopIfTrue="1">
      <formula>AND(OR(#REF!="COMPOSICAO",#REF!="INSUMO",#REF!&lt;&gt;""),#REF!&lt;&gt;"")</formula>
    </cfRule>
  </conditionalFormatting>
  <conditionalFormatting sqref="G48:G55">
    <cfRule type="expression" dxfId="38" priority="43" stopIfTrue="1">
      <formula>AND(#REF!&lt;&gt;"COMPOSICAO",#REF!&lt;&gt;"INSUMO",#REF!&lt;&gt;"")</formula>
    </cfRule>
    <cfRule type="expression" dxfId="37" priority="44" stopIfTrue="1">
      <formula>AND(OR(#REF!="COMPOSICAO",#REF!="INSUMO",#REF!&lt;&gt;""),#REF!&lt;&gt;"")</formula>
    </cfRule>
  </conditionalFormatting>
  <conditionalFormatting sqref="G56:G60">
    <cfRule type="expression" dxfId="36" priority="41" stopIfTrue="1">
      <formula>AND(#REF!&lt;&gt;"COMPOSICAO",#REF!&lt;&gt;"INSUMO",#REF!&lt;&gt;"")</formula>
    </cfRule>
    <cfRule type="expression" dxfId="35" priority="42" stopIfTrue="1">
      <formula>AND(OR(#REF!="COMPOSICAO",#REF!="INSUMO",#REF!&lt;&gt;""),#REF!&lt;&gt;"")</formula>
    </cfRule>
  </conditionalFormatting>
  <conditionalFormatting sqref="G56:G60">
    <cfRule type="expression" dxfId="34" priority="39" stopIfTrue="1">
      <formula>AND(#REF!&lt;&gt;"COMPOSICAO",#REF!&lt;&gt;"INSUMO",#REF!&lt;&gt;"")</formula>
    </cfRule>
    <cfRule type="expression" dxfId="33" priority="40" stopIfTrue="1">
      <formula>AND(OR(#REF!="COMPOSICAO",#REF!="INSUMO",#REF!&lt;&gt;""),#REF!&lt;&gt;"")</formula>
    </cfRule>
  </conditionalFormatting>
  <conditionalFormatting sqref="A64:G64 A69:F69 A66:F66 C65:F65 A68 A71">
    <cfRule type="expression" dxfId="32" priority="31" stopIfTrue="1">
      <formula>AND(#REF!&lt;&gt;"COMPOSICAO",#REF!&lt;&gt;"INSUMO",#REF!&lt;&gt;"")</formula>
    </cfRule>
    <cfRule type="expression" dxfId="31" priority="32" stopIfTrue="1">
      <formula>AND(OR(#REF!="COMPOSICAO",#REF!="INSUMO",#REF!&lt;&gt;""),#REF!&lt;&gt;"")</formula>
    </cfRule>
  </conditionalFormatting>
  <conditionalFormatting sqref="A67:F67">
    <cfRule type="expression" dxfId="30" priority="29" stopIfTrue="1">
      <formula>AND(#REF!&lt;&gt;"COMPOSICAO",#REF!&lt;&gt;"INSUMO",#REF!&lt;&gt;"")</formula>
    </cfRule>
    <cfRule type="expression" dxfId="29" priority="30" stopIfTrue="1">
      <formula>AND(OR(#REF!="COMPOSICAO",#REF!="INSUMO",#REF!&lt;&gt;""),#REF!&lt;&gt;"")</formula>
    </cfRule>
  </conditionalFormatting>
  <conditionalFormatting sqref="A65:B65">
    <cfRule type="expression" dxfId="28" priority="27" stopIfTrue="1">
      <formula>AND(#REF!&lt;&gt;"COMPOSICAO",#REF!&lt;&gt;"INSUMO",#REF!&lt;&gt;"")</formula>
    </cfRule>
    <cfRule type="expression" dxfId="27" priority="28" stopIfTrue="1">
      <formula>AND(OR(#REF!="COMPOSICAO",#REF!="INSUMO",#REF!&lt;&gt;""),#REF!&lt;&gt;"")</formula>
    </cfRule>
  </conditionalFormatting>
  <conditionalFormatting sqref="B68:F68">
    <cfRule type="expression" dxfId="26" priority="25" stopIfTrue="1">
      <formula>AND(#REF!&lt;&gt;"COMPOSICAO",#REF!&lt;&gt;"INSUMO",#REF!&lt;&gt;"")</formula>
    </cfRule>
    <cfRule type="expression" dxfId="25" priority="26" stopIfTrue="1">
      <formula>AND(OR(#REF!="COMPOSICAO",#REF!="INSUMO",#REF!&lt;&gt;""),#REF!&lt;&gt;"")</formula>
    </cfRule>
  </conditionalFormatting>
  <conditionalFormatting sqref="A87:G88 A96:F96 C89:F90 A89:A95">
    <cfRule type="expression" dxfId="24" priority="23" stopIfTrue="1">
      <formula>AND(#REF!&lt;&gt;"COMPOSICAO",#REF!&lt;&gt;"INSUMO",#REF!&lt;&gt;"")</formula>
    </cfRule>
    <cfRule type="expression" dxfId="23" priority="24" stopIfTrue="1">
      <formula>AND(OR(#REF!="COMPOSICAO",#REF!="INSUMO",#REF!&lt;&gt;""),#REF!&lt;&gt;"")</formula>
    </cfRule>
  </conditionalFormatting>
  <conditionalFormatting sqref="B94:F94 C91:F93">
    <cfRule type="expression" dxfId="22" priority="21" stopIfTrue="1">
      <formula>AND(#REF!&lt;&gt;"COMPOSICAO",#REF!&lt;&gt;"INSUMO",#REF!&lt;&gt;"")</formula>
    </cfRule>
    <cfRule type="expression" dxfId="21" priority="22" stopIfTrue="1">
      <formula>AND(OR(#REF!="COMPOSICAO",#REF!="INSUMO",#REF!&lt;&gt;""),#REF!&lt;&gt;"")</formula>
    </cfRule>
  </conditionalFormatting>
  <conditionalFormatting sqref="B95:F95">
    <cfRule type="expression" dxfId="20" priority="19" stopIfTrue="1">
      <formula>AND(#REF!&lt;&gt;"COMPOSICAO",#REF!&lt;&gt;"INSUMO",#REF!&lt;&gt;"")</formula>
    </cfRule>
    <cfRule type="expression" dxfId="19" priority="20" stopIfTrue="1">
      <formula>AND(OR(#REF!="COMPOSICAO",#REF!="INSUMO",#REF!&lt;&gt;""),#REF!&lt;&gt;"")</formula>
    </cfRule>
  </conditionalFormatting>
  <conditionalFormatting sqref="B89:B93">
    <cfRule type="expression" dxfId="18" priority="17" stopIfTrue="1">
      <formula>AND(#REF!&lt;&gt;"COMPOSICAO",#REF!&lt;&gt;"INSUMO",#REF!&lt;&gt;"")</formula>
    </cfRule>
    <cfRule type="expression" dxfId="17" priority="18" stopIfTrue="1">
      <formula>AND(OR(#REF!="COMPOSICAO",#REF!="INSUMO",#REF!&lt;&gt;""),#REF!&lt;&gt;"")</formula>
    </cfRule>
  </conditionalFormatting>
  <conditionalFormatting sqref="A116:A122 C119:F120 B116:B120">
    <cfRule type="expression" dxfId="16" priority="15" stopIfTrue="1">
      <formula>AND(#REF!&lt;&gt;"COMPOSICAO",#REF!&lt;&gt;"INSUMO",#REF!&lt;&gt;"")</formula>
    </cfRule>
    <cfRule type="expression" dxfId="15" priority="16" stopIfTrue="1">
      <formula>AND(OR(#REF!="COMPOSICAO",#REF!="INSUMO",#REF!&lt;&gt;""),#REF!&lt;&gt;"")</formula>
    </cfRule>
  </conditionalFormatting>
  <conditionalFormatting sqref="A100:G101 A110:F110 C102:F104 A102:A109">
    <cfRule type="expression" dxfId="14" priority="13" stopIfTrue="1">
      <formula>AND(#REF!&lt;&gt;"COMPOSICAO",#REF!&lt;&gt;"INSUMO",#REF!&lt;&gt;"")</formula>
    </cfRule>
    <cfRule type="expression" dxfId="13" priority="14" stopIfTrue="1">
      <formula>AND(OR(#REF!="COMPOSICAO",#REF!="INSUMO",#REF!&lt;&gt;""),#REF!&lt;&gt;"")</formula>
    </cfRule>
  </conditionalFormatting>
  <conditionalFormatting sqref="B108:F108 C105:F107">
    <cfRule type="expression" dxfId="12" priority="11" stopIfTrue="1">
      <formula>AND(#REF!&lt;&gt;"COMPOSICAO",#REF!&lt;&gt;"INSUMO",#REF!&lt;&gt;"")</formula>
    </cfRule>
    <cfRule type="expression" dxfId="11" priority="12" stopIfTrue="1">
      <formula>AND(OR(#REF!="COMPOSICAO",#REF!="INSUMO",#REF!&lt;&gt;""),#REF!&lt;&gt;"")</formula>
    </cfRule>
  </conditionalFormatting>
  <conditionalFormatting sqref="B122:F122">
    <cfRule type="expression" dxfId="10" priority="1" stopIfTrue="1">
      <formula>AND(#REF!&lt;&gt;"COMPOSICAO",#REF!&lt;&gt;"INSUMO",#REF!&lt;&gt;"")</formula>
    </cfRule>
    <cfRule type="expression" dxfId="9" priority="2" stopIfTrue="1">
      <formula>AND(OR(#REF!="COMPOSICAO",#REF!="INSUMO",#REF!&lt;&gt;""),#REF!&lt;&gt;"")</formula>
    </cfRule>
  </conditionalFormatting>
  <conditionalFormatting sqref="B109:F109">
    <cfRule type="expression" dxfId="8" priority="9" stopIfTrue="1">
      <formula>AND(#REF!&lt;&gt;"COMPOSICAO",#REF!&lt;&gt;"INSUMO",#REF!&lt;&gt;"")</formula>
    </cfRule>
    <cfRule type="expression" dxfId="7" priority="10" stopIfTrue="1">
      <formula>AND(OR(#REF!="COMPOSICAO",#REF!="INSUMO",#REF!&lt;&gt;""),#REF!&lt;&gt;"")</formula>
    </cfRule>
  </conditionalFormatting>
  <conditionalFormatting sqref="B102:B107">
    <cfRule type="expression" dxfId="6" priority="7" stopIfTrue="1">
      <formula>AND(#REF!&lt;&gt;"COMPOSICAO",#REF!&lt;&gt;"INSUMO",#REF!&lt;&gt;"")</formula>
    </cfRule>
    <cfRule type="expression" dxfId="5" priority="8" stopIfTrue="1">
      <formula>AND(OR(#REF!="COMPOSICAO",#REF!="INSUMO",#REF!&lt;&gt;""),#REF!&lt;&gt;"")</formula>
    </cfRule>
  </conditionalFormatting>
  <conditionalFormatting sqref="A114:G115 A123:F124 C116:F118">
    <cfRule type="expression" dxfId="4" priority="5" stopIfTrue="1">
      <formula>AND(#REF!&lt;&gt;"COMPOSICAO",#REF!&lt;&gt;"INSUMO",#REF!&lt;&gt;"")</formula>
    </cfRule>
    <cfRule type="expression" dxfId="3" priority="6" stopIfTrue="1">
      <formula>AND(OR(#REF!="COMPOSICAO",#REF!="INSUMO",#REF!&lt;&gt;""),#REF!&lt;&gt;"")</formula>
    </cfRule>
  </conditionalFormatting>
  <conditionalFormatting sqref="B121:F121">
    <cfRule type="expression" dxfId="2" priority="3" stopIfTrue="1">
      <formula>AND(#REF!&lt;&gt;"COMPOSICAO",#REF!&lt;&gt;"INSUMO",#REF!&lt;&gt;"")</formula>
    </cfRule>
    <cfRule type="expression" dxfId="1" priority="4" stopIfTrue="1">
      <formula>AND(OR(#REF!="COMPOSICAO",#REF!="INSUMO",#REF!&lt;&gt;""),#REF!&lt;&gt;"")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view="pageBreakPreview" topLeftCell="A40" zoomScaleNormal="100" zoomScaleSheetLayoutView="100" workbookViewId="0">
      <selection activeCell="B5" sqref="B5"/>
    </sheetView>
  </sheetViews>
  <sheetFormatPr defaultRowHeight="12.75" x14ac:dyDescent="0.2"/>
  <cols>
    <col min="1" max="1" width="6.140625" style="1" customWidth="1"/>
    <col min="2" max="2" width="11.85546875" style="1" customWidth="1"/>
    <col min="3" max="3" width="64" style="3" customWidth="1"/>
    <col min="4" max="4" width="7.7109375" style="2" customWidth="1"/>
    <col min="5" max="5" width="60.140625" style="316" customWidth="1"/>
    <col min="6" max="6" width="14.7109375" style="299" bestFit="1" customWidth="1"/>
    <col min="7" max="7" width="14.7109375" style="1" bestFit="1" customWidth="1"/>
    <col min="8" max="9" width="10.7109375" style="1" customWidth="1"/>
    <col min="10" max="10" width="16.5703125" style="1" bestFit="1" customWidth="1"/>
    <col min="11" max="254" width="9.140625" style="1"/>
    <col min="255" max="255" width="6.140625" style="1" customWidth="1"/>
    <col min="256" max="256" width="10.5703125" style="1" customWidth="1"/>
    <col min="257" max="257" width="77.140625" style="1" customWidth="1"/>
    <col min="258" max="258" width="7.7109375" style="1" customWidth="1"/>
    <col min="259" max="259" width="13.28515625" style="1" bestFit="1" customWidth="1"/>
    <col min="260" max="260" width="15.42578125" style="1" customWidth="1"/>
    <col min="261" max="261" width="15.42578125" style="1" bestFit="1" customWidth="1"/>
    <col min="262" max="262" width="21.5703125" style="1" customWidth="1"/>
    <col min="263" max="263" width="9.140625" style="1"/>
    <col min="264" max="264" width="16.5703125" style="1" bestFit="1" customWidth="1"/>
    <col min="265" max="510" width="9.140625" style="1"/>
    <col min="511" max="511" width="6.140625" style="1" customWidth="1"/>
    <col min="512" max="512" width="10.5703125" style="1" customWidth="1"/>
    <col min="513" max="513" width="77.140625" style="1" customWidth="1"/>
    <col min="514" max="514" width="7.7109375" style="1" customWidth="1"/>
    <col min="515" max="515" width="13.28515625" style="1" bestFit="1" customWidth="1"/>
    <col min="516" max="516" width="15.42578125" style="1" customWidth="1"/>
    <col min="517" max="517" width="15.42578125" style="1" bestFit="1" customWidth="1"/>
    <col min="518" max="518" width="21.5703125" style="1" customWidth="1"/>
    <col min="519" max="519" width="9.140625" style="1"/>
    <col min="520" max="520" width="16.5703125" style="1" bestFit="1" customWidth="1"/>
    <col min="521" max="766" width="9.140625" style="1"/>
    <col min="767" max="767" width="6.140625" style="1" customWidth="1"/>
    <col min="768" max="768" width="10.5703125" style="1" customWidth="1"/>
    <col min="769" max="769" width="77.140625" style="1" customWidth="1"/>
    <col min="770" max="770" width="7.7109375" style="1" customWidth="1"/>
    <col min="771" max="771" width="13.28515625" style="1" bestFit="1" customWidth="1"/>
    <col min="772" max="772" width="15.42578125" style="1" customWidth="1"/>
    <col min="773" max="773" width="15.42578125" style="1" bestFit="1" customWidth="1"/>
    <col min="774" max="774" width="21.5703125" style="1" customWidth="1"/>
    <col min="775" max="775" width="9.140625" style="1"/>
    <col min="776" max="776" width="16.5703125" style="1" bestFit="1" customWidth="1"/>
    <col min="777" max="1022" width="9.140625" style="1"/>
    <col min="1023" max="1023" width="6.140625" style="1" customWidth="1"/>
    <col min="1024" max="1024" width="10.5703125" style="1" customWidth="1"/>
    <col min="1025" max="1025" width="77.140625" style="1" customWidth="1"/>
    <col min="1026" max="1026" width="7.7109375" style="1" customWidth="1"/>
    <col min="1027" max="1027" width="13.28515625" style="1" bestFit="1" customWidth="1"/>
    <col min="1028" max="1028" width="15.42578125" style="1" customWidth="1"/>
    <col min="1029" max="1029" width="15.42578125" style="1" bestFit="1" customWidth="1"/>
    <col min="1030" max="1030" width="21.5703125" style="1" customWidth="1"/>
    <col min="1031" max="1031" width="9.140625" style="1"/>
    <col min="1032" max="1032" width="16.5703125" style="1" bestFit="1" customWidth="1"/>
    <col min="1033" max="1278" width="9.140625" style="1"/>
    <col min="1279" max="1279" width="6.140625" style="1" customWidth="1"/>
    <col min="1280" max="1280" width="10.5703125" style="1" customWidth="1"/>
    <col min="1281" max="1281" width="77.140625" style="1" customWidth="1"/>
    <col min="1282" max="1282" width="7.7109375" style="1" customWidth="1"/>
    <col min="1283" max="1283" width="13.28515625" style="1" bestFit="1" customWidth="1"/>
    <col min="1284" max="1284" width="15.42578125" style="1" customWidth="1"/>
    <col min="1285" max="1285" width="15.42578125" style="1" bestFit="1" customWidth="1"/>
    <col min="1286" max="1286" width="21.5703125" style="1" customWidth="1"/>
    <col min="1287" max="1287" width="9.140625" style="1"/>
    <col min="1288" max="1288" width="16.5703125" style="1" bestFit="1" customWidth="1"/>
    <col min="1289" max="1534" width="9.140625" style="1"/>
    <col min="1535" max="1535" width="6.140625" style="1" customWidth="1"/>
    <col min="1536" max="1536" width="10.5703125" style="1" customWidth="1"/>
    <col min="1537" max="1537" width="77.140625" style="1" customWidth="1"/>
    <col min="1538" max="1538" width="7.7109375" style="1" customWidth="1"/>
    <col min="1539" max="1539" width="13.28515625" style="1" bestFit="1" customWidth="1"/>
    <col min="1540" max="1540" width="15.42578125" style="1" customWidth="1"/>
    <col min="1541" max="1541" width="15.42578125" style="1" bestFit="1" customWidth="1"/>
    <col min="1542" max="1542" width="21.5703125" style="1" customWidth="1"/>
    <col min="1543" max="1543" width="9.140625" style="1"/>
    <col min="1544" max="1544" width="16.5703125" style="1" bestFit="1" customWidth="1"/>
    <col min="1545" max="1790" width="9.140625" style="1"/>
    <col min="1791" max="1791" width="6.140625" style="1" customWidth="1"/>
    <col min="1792" max="1792" width="10.5703125" style="1" customWidth="1"/>
    <col min="1793" max="1793" width="77.140625" style="1" customWidth="1"/>
    <col min="1794" max="1794" width="7.7109375" style="1" customWidth="1"/>
    <col min="1795" max="1795" width="13.28515625" style="1" bestFit="1" customWidth="1"/>
    <col min="1796" max="1796" width="15.42578125" style="1" customWidth="1"/>
    <col min="1797" max="1797" width="15.42578125" style="1" bestFit="1" customWidth="1"/>
    <col min="1798" max="1798" width="21.5703125" style="1" customWidth="1"/>
    <col min="1799" max="1799" width="9.140625" style="1"/>
    <col min="1800" max="1800" width="16.5703125" style="1" bestFit="1" customWidth="1"/>
    <col min="1801" max="2046" width="9.140625" style="1"/>
    <col min="2047" max="2047" width="6.140625" style="1" customWidth="1"/>
    <col min="2048" max="2048" width="10.5703125" style="1" customWidth="1"/>
    <col min="2049" max="2049" width="77.140625" style="1" customWidth="1"/>
    <col min="2050" max="2050" width="7.7109375" style="1" customWidth="1"/>
    <col min="2051" max="2051" width="13.28515625" style="1" bestFit="1" customWidth="1"/>
    <col min="2052" max="2052" width="15.42578125" style="1" customWidth="1"/>
    <col min="2053" max="2053" width="15.42578125" style="1" bestFit="1" customWidth="1"/>
    <col min="2054" max="2054" width="21.5703125" style="1" customWidth="1"/>
    <col min="2055" max="2055" width="9.140625" style="1"/>
    <col min="2056" max="2056" width="16.5703125" style="1" bestFit="1" customWidth="1"/>
    <col min="2057" max="2302" width="9.140625" style="1"/>
    <col min="2303" max="2303" width="6.140625" style="1" customWidth="1"/>
    <col min="2304" max="2304" width="10.5703125" style="1" customWidth="1"/>
    <col min="2305" max="2305" width="77.140625" style="1" customWidth="1"/>
    <col min="2306" max="2306" width="7.7109375" style="1" customWidth="1"/>
    <col min="2307" max="2307" width="13.28515625" style="1" bestFit="1" customWidth="1"/>
    <col min="2308" max="2308" width="15.42578125" style="1" customWidth="1"/>
    <col min="2309" max="2309" width="15.42578125" style="1" bestFit="1" customWidth="1"/>
    <col min="2310" max="2310" width="21.5703125" style="1" customWidth="1"/>
    <col min="2311" max="2311" width="9.140625" style="1"/>
    <col min="2312" max="2312" width="16.5703125" style="1" bestFit="1" customWidth="1"/>
    <col min="2313" max="2558" width="9.140625" style="1"/>
    <col min="2559" max="2559" width="6.140625" style="1" customWidth="1"/>
    <col min="2560" max="2560" width="10.5703125" style="1" customWidth="1"/>
    <col min="2561" max="2561" width="77.140625" style="1" customWidth="1"/>
    <col min="2562" max="2562" width="7.7109375" style="1" customWidth="1"/>
    <col min="2563" max="2563" width="13.28515625" style="1" bestFit="1" customWidth="1"/>
    <col min="2564" max="2564" width="15.42578125" style="1" customWidth="1"/>
    <col min="2565" max="2565" width="15.42578125" style="1" bestFit="1" customWidth="1"/>
    <col min="2566" max="2566" width="21.5703125" style="1" customWidth="1"/>
    <col min="2567" max="2567" width="9.140625" style="1"/>
    <col min="2568" max="2568" width="16.5703125" style="1" bestFit="1" customWidth="1"/>
    <col min="2569" max="2814" width="9.140625" style="1"/>
    <col min="2815" max="2815" width="6.140625" style="1" customWidth="1"/>
    <col min="2816" max="2816" width="10.5703125" style="1" customWidth="1"/>
    <col min="2817" max="2817" width="77.140625" style="1" customWidth="1"/>
    <col min="2818" max="2818" width="7.7109375" style="1" customWidth="1"/>
    <col min="2819" max="2819" width="13.28515625" style="1" bestFit="1" customWidth="1"/>
    <col min="2820" max="2820" width="15.42578125" style="1" customWidth="1"/>
    <col min="2821" max="2821" width="15.42578125" style="1" bestFit="1" customWidth="1"/>
    <col min="2822" max="2822" width="21.5703125" style="1" customWidth="1"/>
    <col min="2823" max="2823" width="9.140625" style="1"/>
    <col min="2824" max="2824" width="16.5703125" style="1" bestFit="1" customWidth="1"/>
    <col min="2825" max="3070" width="9.140625" style="1"/>
    <col min="3071" max="3071" width="6.140625" style="1" customWidth="1"/>
    <col min="3072" max="3072" width="10.5703125" style="1" customWidth="1"/>
    <col min="3073" max="3073" width="77.140625" style="1" customWidth="1"/>
    <col min="3074" max="3074" width="7.7109375" style="1" customWidth="1"/>
    <col min="3075" max="3075" width="13.28515625" style="1" bestFit="1" customWidth="1"/>
    <col min="3076" max="3076" width="15.42578125" style="1" customWidth="1"/>
    <col min="3077" max="3077" width="15.42578125" style="1" bestFit="1" customWidth="1"/>
    <col min="3078" max="3078" width="21.5703125" style="1" customWidth="1"/>
    <col min="3079" max="3079" width="9.140625" style="1"/>
    <col min="3080" max="3080" width="16.5703125" style="1" bestFit="1" customWidth="1"/>
    <col min="3081" max="3326" width="9.140625" style="1"/>
    <col min="3327" max="3327" width="6.140625" style="1" customWidth="1"/>
    <col min="3328" max="3328" width="10.5703125" style="1" customWidth="1"/>
    <col min="3329" max="3329" width="77.140625" style="1" customWidth="1"/>
    <col min="3330" max="3330" width="7.7109375" style="1" customWidth="1"/>
    <col min="3331" max="3331" width="13.28515625" style="1" bestFit="1" customWidth="1"/>
    <col min="3332" max="3332" width="15.42578125" style="1" customWidth="1"/>
    <col min="3333" max="3333" width="15.42578125" style="1" bestFit="1" customWidth="1"/>
    <col min="3334" max="3334" width="21.5703125" style="1" customWidth="1"/>
    <col min="3335" max="3335" width="9.140625" style="1"/>
    <col min="3336" max="3336" width="16.5703125" style="1" bestFit="1" customWidth="1"/>
    <col min="3337" max="3582" width="9.140625" style="1"/>
    <col min="3583" max="3583" width="6.140625" style="1" customWidth="1"/>
    <col min="3584" max="3584" width="10.5703125" style="1" customWidth="1"/>
    <col min="3585" max="3585" width="77.140625" style="1" customWidth="1"/>
    <col min="3586" max="3586" width="7.7109375" style="1" customWidth="1"/>
    <col min="3587" max="3587" width="13.28515625" style="1" bestFit="1" customWidth="1"/>
    <col min="3588" max="3588" width="15.42578125" style="1" customWidth="1"/>
    <col min="3589" max="3589" width="15.42578125" style="1" bestFit="1" customWidth="1"/>
    <col min="3590" max="3590" width="21.5703125" style="1" customWidth="1"/>
    <col min="3591" max="3591" width="9.140625" style="1"/>
    <col min="3592" max="3592" width="16.5703125" style="1" bestFit="1" customWidth="1"/>
    <col min="3593" max="3838" width="9.140625" style="1"/>
    <col min="3839" max="3839" width="6.140625" style="1" customWidth="1"/>
    <col min="3840" max="3840" width="10.5703125" style="1" customWidth="1"/>
    <col min="3841" max="3841" width="77.140625" style="1" customWidth="1"/>
    <col min="3842" max="3842" width="7.7109375" style="1" customWidth="1"/>
    <col min="3843" max="3843" width="13.28515625" style="1" bestFit="1" customWidth="1"/>
    <col min="3844" max="3844" width="15.42578125" style="1" customWidth="1"/>
    <col min="3845" max="3845" width="15.42578125" style="1" bestFit="1" customWidth="1"/>
    <col min="3846" max="3846" width="21.5703125" style="1" customWidth="1"/>
    <col min="3847" max="3847" width="9.140625" style="1"/>
    <col min="3848" max="3848" width="16.5703125" style="1" bestFit="1" customWidth="1"/>
    <col min="3849" max="4094" width="9.140625" style="1"/>
    <col min="4095" max="4095" width="6.140625" style="1" customWidth="1"/>
    <col min="4096" max="4096" width="10.5703125" style="1" customWidth="1"/>
    <col min="4097" max="4097" width="77.140625" style="1" customWidth="1"/>
    <col min="4098" max="4098" width="7.7109375" style="1" customWidth="1"/>
    <col min="4099" max="4099" width="13.28515625" style="1" bestFit="1" customWidth="1"/>
    <col min="4100" max="4100" width="15.42578125" style="1" customWidth="1"/>
    <col min="4101" max="4101" width="15.42578125" style="1" bestFit="1" customWidth="1"/>
    <col min="4102" max="4102" width="21.5703125" style="1" customWidth="1"/>
    <col min="4103" max="4103" width="9.140625" style="1"/>
    <col min="4104" max="4104" width="16.5703125" style="1" bestFit="1" customWidth="1"/>
    <col min="4105" max="4350" width="9.140625" style="1"/>
    <col min="4351" max="4351" width="6.140625" style="1" customWidth="1"/>
    <col min="4352" max="4352" width="10.5703125" style="1" customWidth="1"/>
    <col min="4353" max="4353" width="77.140625" style="1" customWidth="1"/>
    <col min="4354" max="4354" width="7.7109375" style="1" customWidth="1"/>
    <col min="4355" max="4355" width="13.28515625" style="1" bestFit="1" customWidth="1"/>
    <col min="4356" max="4356" width="15.42578125" style="1" customWidth="1"/>
    <col min="4357" max="4357" width="15.42578125" style="1" bestFit="1" customWidth="1"/>
    <col min="4358" max="4358" width="21.5703125" style="1" customWidth="1"/>
    <col min="4359" max="4359" width="9.140625" style="1"/>
    <col min="4360" max="4360" width="16.5703125" style="1" bestFit="1" customWidth="1"/>
    <col min="4361" max="4606" width="9.140625" style="1"/>
    <col min="4607" max="4607" width="6.140625" style="1" customWidth="1"/>
    <col min="4608" max="4608" width="10.5703125" style="1" customWidth="1"/>
    <col min="4609" max="4609" width="77.140625" style="1" customWidth="1"/>
    <col min="4610" max="4610" width="7.7109375" style="1" customWidth="1"/>
    <col min="4611" max="4611" width="13.28515625" style="1" bestFit="1" customWidth="1"/>
    <col min="4612" max="4612" width="15.42578125" style="1" customWidth="1"/>
    <col min="4613" max="4613" width="15.42578125" style="1" bestFit="1" customWidth="1"/>
    <col min="4614" max="4614" width="21.5703125" style="1" customWidth="1"/>
    <col min="4615" max="4615" width="9.140625" style="1"/>
    <col min="4616" max="4616" width="16.5703125" style="1" bestFit="1" customWidth="1"/>
    <col min="4617" max="4862" width="9.140625" style="1"/>
    <col min="4863" max="4863" width="6.140625" style="1" customWidth="1"/>
    <col min="4864" max="4864" width="10.5703125" style="1" customWidth="1"/>
    <col min="4865" max="4865" width="77.140625" style="1" customWidth="1"/>
    <col min="4866" max="4866" width="7.7109375" style="1" customWidth="1"/>
    <col min="4867" max="4867" width="13.28515625" style="1" bestFit="1" customWidth="1"/>
    <col min="4868" max="4868" width="15.42578125" style="1" customWidth="1"/>
    <col min="4869" max="4869" width="15.42578125" style="1" bestFit="1" customWidth="1"/>
    <col min="4870" max="4870" width="21.5703125" style="1" customWidth="1"/>
    <col min="4871" max="4871" width="9.140625" style="1"/>
    <col min="4872" max="4872" width="16.5703125" style="1" bestFit="1" customWidth="1"/>
    <col min="4873" max="5118" width="9.140625" style="1"/>
    <col min="5119" max="5119" width="6.140625" style="1" customWidth="1"/>
    <col min="5120" max="5120" width="10.5703125" style="1" customWidth="1"/>
    <col min="5121" max="5121" width="77.140625" style="1" customWidth="1"/>
    <col min="5122" max="5122" width="7.7109375" style="1" customWidth="1"/>
    <col min="5123" max="5123" width="13.28515625" style="1" bestFit="1" customWidth="1"/>
    <col min="5124" max="5124" width="15.42578125" style="1" customWidth="1"/>
    <col min="5125" max="5125" width="15.42578125" style="1" bestFit="1" customWidth="1"/>
    <col min="5126" max="5126" width="21.5703125" style="1" customWidth="1"/>
    <col min="5127" max="5127" width="9.140625" style="1"/>
    <col min="5128" max="5128" width="16.5703125" style="1" bestFit="1" customWidth="1"/>
    <col min="5129" max="5374" width="9.140625" style="1"/>
    <col min="5375" max="5375" width="6.140625" style="1" customWidth="1"/>
    <col min="5376" max="5376" width="10.5703125" style="1" customWidth="1"/>
    <col min="5377" max="5377" width="77.140625" style="1" customWidth="1"/>
    <col min="5378" max="5378" width="7.7109375" style="1" customWidth="1"/>
    <col min="5379" max="5379" width="13.28515625" style="1" bestFit="1" customWidth="1"/>
    <col min="5380" max="5380" width="15.42578125" style="1" customWidth="1"/>
    <col min="5381" max="5381" width="15.42578125" style="1" bestFit="1" customWidth="1"/>
    <col min="5382" max="5382" width="21.5703125" style="1" customWidth="1"/>
    <col min="5383" max="5383" width="9.140625" style="1"/>
    <col min="5384" max="5384" width="16.5703125" style="1" bestFit="1" customWidth="1"/>
    <col min="5385" max="5630" width="9.140625" style="1"/>
    <col min="5631" max="5631" width="6.140625" style="1" customWidth="1"/>
    <col min="5632" max="5632" width="10.5703125" style="1" customWidth="1"/>
    <col min="5633" max="5633" width="77.140625" style="1" customWidth="1"/>
    <col min="5634" max="5634" width="7.7109375" style="1" customWidth="1"/>
    <col min="5635" max="5635" width="13.28515625" style="1" bestFit="1" customWidth="1"/>
    <col min="5636" max="5636" width="15.42578125" style="1" customWidth="1"/>
    <col min="5637" max="5637" width="15.42578125" style="1" bestFit="1" customWidth="1"/>
    <col min="5638" max="5638" width="21.5703125" style="1" customWidth="1"/>
    <col min="5639" max="5639" width="9.140625" style="1"/>
    <col min="5640" max="5640" width="16.5703125" style="1" bestFit="1" customWidth="1"/>
    <col min="5641" max="5886" width="9.140625" style="1"/>
    <col min="5887" max="5887" width="6.140625" style="1" customWidth="1"/>
    <col min="5888" max="5888" width="10.5703125" style="1" customWidth="1"/>
    <col min="5889" max="5889" width="77.140625" style="1" customWidth="1"/>
    <col min="5890" max="5890" width="7.7109375" style="1" customWidth="1"/>
    <col min="5891" max="5891" width="13.28515625" style="1" bestFit="1" customWidth="1"/>
    <col min="5892" max="5892" width="15.42578125" style="1" customWidth="1"/>
    <col min="5893" max="5893" width="15.42578125" style="1" bestFit="1" customWidth="1"/>
    <col min="5894" max="5894" width="21.5703125" style="1" customWidth="1"/>
    <col min="5895" max="5895" width="9.140625" style="1"/>
    <col min="5896" max="5896" width="16.5703125" style="1" bestFit="1" customWidth="1"/>
    <col min="5897" max="6142" width="9.140625" style="1"/>
    <col min="6143" max="6143" width="6.140625" style="1" customWidth="1"/>
    <col min="6144" max="6144" width="10.5703125" style="1" customWidth="1"/>
    <col min="6145" max="6145" width="77.140625" style="1" customWidth="1"/>
    <col min="6146" max="6146" width="7.7109375" style="1" customWidth="1"/>
    <col min="6147" max="6147" width="13.28515625" style="1" bestFit="1" customWidth="1"/>
    <col min="6148" max="6148" width="15.42578125" style="1" customWidth="1"/>
    <col min="6149" max="6149" width="15.42578125" style="1" bestFit="1" customWidth="1"/>
    <col min="6150" max="6150" width="21.5703125" style="1" customWidth="1"/>
    <col min="6151" max="6151" width="9.140625" style="1"/>
    <col min="6152" max="6152" width="16.5703125" style="1" bestFit="1" customWidth="1"/>
    <col min="6153" max="6398" width="9.140625" style="1"/>
    <col min="6399" max="6399" width="6.140625" style="1" customWidth="1"/>
    <col min="6400" max="6400" width="10.5703125" style="1" customWidth="1"/>
    <col min="6401" max="6401" width="77.140625" style="1" customWidth="1"/>
    <col min="6402" max="6402" width="7.7109375" style="1" customWidth="1"/>
    <col min="6403" max="6403" width="13.28515625" style="1" bestFit="1" customWidth="1"/>
    <col min="6404" max="6404" width="15.42578125" style="1" customWidth="1"/>
    <col min="6405" max="6405" width="15.42578125" style="1" bestFit="1" customWidth="1"/>
    <col min="6406" max="6406" width="21.5703125" style="1" customWidth="1"/>
    <col min="6407" max="6407" width="9.140625" style="1"/>
    <col min="6408" max="6408" width="16.5703125" style="1" bestFit="1" customWidth="1"/>
    <col min="6409" max="6654" width="9.140625" style="1"/>
    <col min="6655" max="6655" width="6.140625" style="1" customWidth="1"/>
    <col min="6656" max="6656" width="10.5703125" style="1" customWidth="1"/>
    <col min="6657" max="6657" width="77.140625" style="1" customWidth="1"/>
    <col min="6658" max="6658" width="7.7109375" style="1" customWidth="1"/>
    <col min="6659" max="6659" width="13.28515625" style="1" bestFit="1" customWidth="1"/>
    <col min="6660" max="6660" width="15.42578125" style="1" customWidth="1"/>
    <col min="6661" max="6661" width="15.42578125" style="1" bestFit="1" customWidth="1"/>
    <col min="6662" max="6662" width="21.5703125" style="1" customWidth="1"/>
    <col min="6663" max="6663" width="9.140625" style="1"/>
    <col min="6664" max="6664" width="16.5703125" style="1" bestFit="1" customWidth="1"/>
    <col min="6665" max="6910" width="9.140625" style="1"/>
    <col min="6911" max="6911" width="6.140625" style="1" customWidth="1"/>
    <col min="6912" max="6912" width="10.5703125" style="1" customWidth="1"/>
    <col min="6913" max="6913" width="77.140625" style="1" customWidth="1"/>
    <col min="6914" max="6914" width="7.7109375" style="1" customWidth="1"/>
    <col min="6915" max="6915" width="13.28515625" style="1" bestFit="1" customWidth="1"/>
    <col min="6916" max="6916" width="15.42578125" style="1" customWidth="1"/>
    <col min="6917" max="6917" width="15.42578125" style="1" bestFit="1" customWidth="1"/>
    <col min="6918" max="6918" width="21.5703125" style="1" customWidth="1"/>
    <col min="6919" max="6919" width="9.140625" style="1"/>
    <col min="6920" max="6920" width="16.5703125" style="1" bestFit="1" customWidth="1"/>
    <col min="6921" max="7166" width="9.140625" style="1"/>
    <col min="7167" max="7167" width="6.140625" style="1" customWidth="1"/>
    <col min="7168" max="7168" width="10.5703125" style="1" customWidth="1"/>
    <col min="7169" max="7169" width="77.140625" style="1" customWidth="1"/>
    <col min="7170" max="7170" width="7.7109375" style="1" customWidth="1"/>
    <col min="7171" max="7171" width="13.28515625" style="1" bestFit="1" customWidth="1"/>
    <col min="7172" max="7172" width="15.42578125" style="1" customWidth="1"/>
    <col min="7173" max="7173" width="15.42578125" style="1" bestFit="1" customWidth="1"/>
    <col min="7174" max="7174" width="21.5703125" style="1" customWidth="1"/>
    <col min="7175" max="7175" width="9.140625" style="1"/>
    <col min="7176" max="7176" width="16.5703125" style="1" bestFit="1" customWidth="1"/>
    <col min="7177" max="7422" width="9.140625" style="1"/>
    <col min="7423" max="7423" width="6.140625" style="1" customWidth="1"/>
    <col min="7424" max="7424" width="10.5703125" style="1" customWidth="1"/>
    <col min="7425" max="7425" width="77.140625" style="1" customWidth="1"/>
    <col min="7426" max="7426" width="7.7109375" style="1" customWidth="1"/>
    <col min="7427" max="7427" width="13.28515625" style="1" bestFit="1" customWidth="1"/>
    <col min="7428" max="7428" width="15.42578125" style="1" customWidth="1"/>
    <col min="7429" max="7429" width="15.42578125" style="1" bestFit="1" customWidth="1"/>
    <col min="7430" max="7430" width="21.5703125" style="1" customWidth="1"/>
    <col min="7431" max="7431" width="9.140625" style="1"/>
    <col min="7432" max="7432" width="16.5703125" style="1" bestFit="1" customWidth="1"/>
    <col min="7433" max="7678" width="9.140625" style="1"/>
    <col min="7679" max="7679" width="6.140625" style="1" customWidth="1"/>
    <col min="7680" max="7680" width="10.5703125" style="1" customWidth="1"/>
    <col min="7681" max="7681" width="77.140625" style="1" customWidth="1"/>
    <col min="7682" max="7682" width="7.7109375" style="1" customWidth="1"/>
    <col min="7683" max="7683" width="13.28515625" style="1" bestFit="1" customWidth="1"/>
    <col min="7684" max="7684" width="15.42578125" style="1" customWidth="1"/>
    <col min="7685" max="7685" width="15.42578125" style="1" bestFit="1" customWidth="1"/>
    <col min="7686" max="7686" width="21.5703125" style="1" customWidth="1"/>
    <col min="7687" max="7687" width="9.140625" style="1"/>
    <col min="7688" max="7688" width="16.5703125" style="1" bestFit="1" customWidth="1"/>
    <col min="7689" max="7934" width="9.140625" style="1"/>
    <col min="7935" max="7935" width="6.140625" style="1" customWidth="1"/>
    <col min="7936" max="7936" width="10.5703125" style="1" customWidth="1"/>
    <col min="7937" max="7937" width="77.140625" style="1" customWidth="1"/>
    <col min="7938" max="7938" width="7.7109375" style="1" customWidth="1"/>
    <col min="7939" max="7939" width="13.28515625" style="1" bestFit="1" customWidth="1"/>
    <col min="7940" max="7940" width="15.42578125" style="1" customWidth="1"/>
    <col min="7941" max="7941" width="15.42578125" style="1" bestFit="1" customWidth="1"/>
    <col min="7942" max="7942" width="21.5703125" style="1" customWidth="1"/>
    <col min="7943" max="7943" width="9.140625" style="1"/>
    <col min="7944" max="7944" width="16.5703125" style="1" bestFit="1" customWidth="1"/>
    <col min="7945" max="8190" width="9.140625" style="1"/>
    <col min="8191" max="8191" width="6.140625" style="1" customWidth="1"/>
    <col min="8192" max="8192" width="10.5703125" style="1" customWidth="1"/>
    <col min="8193" max="8193" width="77.140625" style="1" customWidth="1"/>
    <col min="8194" max="8194" width="7.7109375" style="1" customWidth="1"/>
    <col min="8195" max="8195" width="13.28515625" style="1" bestFit="1" customWidth="1"/>
    <col min="8196" max="8196" width="15.42578125" style="1" customWidth="1"/>
    <col min="8197" max="8197" width="15.42578125" style="1" bestFit="1" customWidth="1"/>
    <col min="8198" max="8198" width="21.5703125" style="1" customWidth="1"/>
    <col min="8199" max="8199" width="9.140625" style="1"/>
    <col min="8200" max="8200" width="16.5703125" style="1" bestFit="1" customWidth="1"/>
    <col min="8201" max="8446" width="9.140625" style="1"/>
    <col min="8447" max="8447" width="6.140625" style="1" customWidth="1"/>
    <col min="8448" max="8448" width="10.5703125" style="1" customWidth="1"/>
    <col min="8449" max="8449" width="77.140625" style="1" customWidth="1"/>
    <col min="8450" max="8450" width="7.7109375" style="1" customWidth="1"/>
    <col min="8451" max="8451" width="13.28515625" style="1" bestFit="1" customWidth="1"/>
    <col min="8452" max="8452" width="15.42578125" style="1" customWidth="1"/>
    <col min="8453" max="8453" width="15.42578125" style="1" bestFit="1" customWidth="1"/>
    <col min="8454" max="8454" width="21.5703125" style="1" customWidth="1"/>
    <col min="8455" max="8455" width="9.140625" style="1"/>
    <col min="8456" max="8456" width="16.5703125" style="1" bestFit="1" customWidth="1"/>
    <col min="8457" max="8702" width="9.140625" style="1"/>
    <col min="8703" max="8703" width="6.140625" style="1" customWidth="1"/>
    <col min="8704" max="8704" width="10.5703125" style="1" customWidth="1"/>
    <col min="8705" max="8705" width="77.140625" style="1" customWidth="1"/>
    <col min="8706" max="8706" width="7.7109375" style="1" customWidth="1"/>
    <col min="8707" max="8707" width="13.28515625" style="1" bestFit="1" customWidth="1"/>
    <col min="8708" max="8708" width="15.42578125" style="1" customWidth="1"/>
    <col min="8709" max="8709" width="15.42578125" style="1" bestFit="1" customWidth="1"/>
    <col min="8710" max="8710" width="21.5703125" style="1" customWidth="1"/>
    <col min="8711" max="8711" width="9.140625" style="1"/>
    <col min="8712" max="8712" width="16.5703125" style="1" bestFit="1" customWidth="1"/>
    <col min="8713" max="8958" width="9.140625" style="1"/>
    <col min="8959" max="8959" width="6.140625" style="1" customWidth="1"/>
    <col min="8960" max="8960" width="10.5703125" style="1" customWidth="1"/>
    <col min="8961" max="8961" width="77.140625" style="1" customWidth="1"/>
    <col min="8962" max="8962" width="7.7109375" style="1" customWidth="1"/>
    <col min="8963" max="8963" width="13.28515625" style="1" bestFit="1" customWidth="1"/>
    <col min="8964" max="8964" width="15.42578125" style="1" customWidth="1"/>
    <col min="8965" max="8965" width="15.42578125" style="1" bestFit="1" customWidth="1"/>
    <col min="8966" max="8966" width="21.5703125" style="1" customWidth="1"/>
    <col min="8967" max="8967" width="9.140625" style="1"/>
    <col min="8968" max="8968" width="16.5703125" style="1" bestFit="1" customWidth="1"/>
    <col min="8969" max="9214" width="9.140625" style="1"/>
    <col min="9215" max="9215" width="6.140625" style="1" customWidth="1"/>
    <col min="9216" max="9216" width="10.5703125" style="1" customWidth="1"/>
    <col min="9217" max="9217" width="77.140625" style="1" customWidth="1"/>
    <col min="9218" max="9218" width="7.7109375" style="1" customWidth="1"/>
    <col min="9219" max="9219" width="13.28515625" style="1" bestFit="1" customWidth="1"/>
    <col min="9220" max="9220" width="15.42578125" style="1" customWidth="1"/>
    <col min="9221" max="9221" width="15.42578125" style="1" bestFit="1" customWidth="1"/>
    <col min="9222" max="9222" width="21.5703125" style="1" customWidth="1"/>
    <col min="9223" max="9223" width="9.140625" style="1"/>
    <col min="9224" max="9224" width="16.5703125" style="1" bestFit="1" customWidth="1"/>
    <col min="9225" max="9470" width="9.140625" style="1"/>
    <col min="9471" max="9471" width="6.140625" style="1" customWidth="1"/>
    <col min="9472" max="9472" width="10.5703125" style="1" customWidth="1"/>
    <col min="9473" max="9473" width="77.140625" style="1" customWidth="1"/>
    <col min="9474" max="9474" width="7.7109375" style="1" customWidth="1"/>
    <col min="9475" max="9475" width="13.28515625" style="1" bestFit="1" customWidth="1"/>
    <col min="9476" max="9476" width="15.42578125" style="1" customWidth="1"/>
    <col min="9477" max="9477" width="15.42578125" style="1" bestFit="1" customWidth="1"/>
    <col min="9478" max="9478" width="21.5703125" style="1" customWidth="1"/>
    <col min="9479" max="9479" width="9.140625" style="1"/>
    <col min="9480" max="9480" width="16.5703125" style="1" bestFit="1" customWidth="1"/>
    <col min="9481" max="9726" width="9.140625" style="1"/>
    <col min="9727" max="9727" width="6.140625" style="1" customWidth="1"/>
    <col min="9728" max="9728" width="10.5703125" style="1" customWidth="1"/>
    <col min="9729" max="9729" width="77.140625" style="1" customWidth="1"/>
    <col min="9730" max="9730" width="7.7109375" style="1" customWidth="1"/>
    <col min="9731" max="9731" width="13.28515625" style="1" bestFit="1" customWidth="1"/>
    <col min="9732" max="9732" width="15.42578125" style="1" customWidth="1"/>
    <col min="9733" max="9733" width="15.42578125" style="1" bestFit="1" customWidth="1"/>
    <col min="9734" max="9734" width="21.5703125" style="1" customWidth="1"/>
    <col min="9735" max="9735" width="9.140625" style="1"/>
    <col min="9736" max="9736" width="16.5703125" style="1" bestFit="1" customWidth="1"/>
    <col min="9737" max="9982" width="9.140625" style="1"/>
    <col min="9983" max="9983" width="6.140625" style="1" customWidth="1"/>
    <col min="9984" max="9984" width="10.5703125" style="1" customWidth="1"/>
    <col min="9985" max="9985" width="77.140625" style="1" customWidth="1"/>
    <col min="9986" max="9986" width="7.7109375" style="1" customWidth="1"/>
    <col min="9987" max="9987" width="13.28515625" style="1" bestFit="1" customWidth="1"/>
    <col min="9988" max="9988" width="15.42578125" style="1" customWidth="1"/>
    <col min="9989" max="9989" width="15.42578125" style="1" bestFit="1" customWidth="1"/>
    <col min="9990" max="9990" width="21.5703125" style="1" customWidth="1"/>
    <col min="9991" max="9991" width="9.140625" style="1"/>
    <col min="9992" max="9992" width="16.5703125" style="1" bestFit="1" customWidth="1"/>
    <col min="9993" max="10238" width="9.140625" style="1"/>
    <col min="10239" max="10239" width="6.140625" style="1" customWidth="1"/>
    <col min="10240" max="10240" width="10.5703125" style="1" customWidth="1"/>
    <col min="10241" max="10241" width="77.140625" style="1" customWidth="1"/>
    <col min="10242" max="10242" width="7.7109375" style="1" customWidth="1"/>
    <col min="10243" max="10243" width="13.28515625" style="1" bestFit="1" customWidth="1"/>
    <col min="10244" max="10244" width="15.42578125" style="1" customWidth="1"/>
    <col min="10245" max="10245" width="15.42578125" style="1" bestFit="1" customWidth="1"/>
    <col min="10246" max="10246" width="21.5703125" style="1" customWidth="1"/>
    <col min="10247" max="10247" width="9.140625" style="1"/>
    <col min="10248" max="10248" width="16.5703125" style="1" bestFit="1" customWidth="1"/>
    <col min="10249" max="10494" width="9.140625" style="1"/>
    <col min="10495" max="10495" width="6.140625" style="1" customWidth="1"/>
    <col min="10496" max="10496" width="10.5703125" style="1" customWidth="1"/>
    <col min="10497" max="10497" width="77.140625" style="1" customWidth="1"/>
    <col min="10498" max="10498" width="7.7109375" style="1" customWidth="1"/>
    <col min="10499" max="10499" width="13.28515625" style="1" bestFit="1" customWidth="1"/>
    <col min="10500" max="10500" width="15.42578125" style="1" customWidth="1"/>
    <col min="10501" max="10501" width="15.42578125" style="1" bestFit="1" customWidth="1"/>
    <col min="10502" max="10502" width="21.5703125" style="1" customWidth="1"/>
    <col min="10503" max="10503" width="9.140625" style="1"/>
    <col min="10504" max="10504" width="16.5703125" style="1" bestFit="1" customWidth="1"/>
    <col min="10505" max="10750" width="9.140625" style="1"/>
    <col min="10751" max="10751" width="6.140625" style="1" customWidth="1"/>
    <col min="10752" max="10752" width="10.5703125" style="1" customWidth="1"/>
    <col min="10753" max="10753" width="77.140625" style="1" customWidth="1"/>
    <col min="10754" max="10754" width="7.7109375" style="1" customWidth="1"/>
    <col min="10755" max="10755" width="13.28515625" style="1" bestFit="1" customWidth="1"/>
    <col min="10756" max="10756" width="15.42578125" style="1" customWidth="1"/>
    <col min="10757" max="10757" width="15.42578125" style="1" bestFit="1" customWidth="1"/>
    <col min="10758" max="10758" width="21.5703125" style="1" customWidth="1"/>
    <col min="10759" max="10759" width="9.140625" style="1"/>
    <col min="10760" max="10760" width="16.5703125" style="1" bestFit="1" customWidth="1"/>
    <col min="10761" max="11006" width="9.140625" style="1"/>
    <col min="11007" max="11007" width="6.140625" style="1" customWidth="1"/>
    <col min="11008" max="11008" width="10.5703125" style="1" customWidth="1"/>
    <col min="11009" max="11009" width="77.140625" style="1" customWidth="1"/>
    <col min="11010" max="11010" width="7.7109375" style="1" customWidth="1"/>
    <col min="11011" max="11011" width="13.28515625" style="1" bestFit="1" customWidth="1"/>
    <col min="11012" max="11012" width="15.42578125" style="1" customWidth="1"/>
    <col min="11013" max="11013" width="15.42578125" style="1" bestFit="1" customWidth="1"/>
    <col min="11014" max="11014" width="21.5703125" style="1" customWidth="1"/>
    <col min="11015" max="11015" width="9.140625" style="1"/>
    <col min="11016" max="11016" width="16.5703125" style="1" bestFit="1" customWidth="1"/>
    <col min="11017" max="11262" width="9.140625" style="1"/>
    <col min="11263" max="11263" width="6.140625" style="1" customWidth="1"/>
    <col min="11264" max="11264" width="10.5703125" style="1" customWidth="1"/>
    <col min="11265" max="11265" width="77.140625" style="1" customWidth="1"/>
    <col min="11266" max="11266" width="7.7109375" style="1" customWidth="1"/>
    <col min="11267" max="11267" width="13.28515625" style="1" bestFit="1" customWidth="1"/>
    <col min="11268" max="11268" width="15.42578125" style="1" customWidth="1"/>
    <col min="11269" max="11269" width="15.42578125" style="1" bestFit="1" customWidth="1"/>
    <col min="11270" max="11270" width="21.5703125" style="1" customWidth="1"/>
    <col min="11271" max="11271" width="9.140625" style="1"/>
    <col min="11272" max="11272" width="16.5703125" style="1" bestFit="1" customWidth="1"/>
    <col min="11273" max="11518" width="9.140625" style="1"/>
    <col min="11519" max="11519" width="6.140625" style="1" customWidth="1"/>
    <col min="11520" max="11520" width="10.5703125" style="1" customWidth="1"/>
    <col min="11521" max="11521" width="77.140625" style="1" customWidth="1"/>
    <col min="11522" max="11522" width="7.7109375" style="1" customWidth="1"/>
    <col min="11523" max="11523" width="13.28515625" style="1" bestFit="1" customWidth="1"/>
    <col min="11524" max="11524" width="15.42578125" style="1" customWidth="1"/>
    <col min="11525" max="11525" width="15.42578125" style="1" bestFit="1" customWidth="1"/>
    <col min="11526" max="11526" width="21.5703125" style="1" customWidth="1"/>
    <col min="11527" max="11527" width="9.140625" style="1"/>
    <col min="11528" max="11528" width="16.5703125" style="1" bestFit="1" customWidth="1"/>
    <col min="11529" max="11774" width="9.140625" style="1"/>
    <col min="11775" max="11775" width="6.140625" style="1" customWidth="1"/>
    <col min="11776" max="11776" width="10.5703125" style="1" customWidth="1"/>
    <col min="11777" max="11777" width="77.140625" style="1" customWidth="1"/>
    <col min="11778" max="11778" width="7.7109375" style="1" customWidth="1"/>
    <col min="11779" max="11779" width="13.28515625" style="1" bestFit="1" customWidth="1"/>
    <col min="11780" max="11780" width="15.42578125" style="1" customWidth="1"/>
    <col min="11781" max="11781" width="15.42578125" style="1" bestFit="1" customWidth="1"/>
    <col min="11782" max="11782" width="21.5703125" style="1" customWidth="1"/>
    <col min="11783" max="11783" width="9.140625" style="1"/>
    <col min="11784" max="11784" width="16.5703125" style="1" bestFit="1" customWidth="1"/>
    <col min="11785" max="12030" width="9.140625" style="1"/>
    <col min="12031" max="12031" width="6.140625" style="1" customWidth="1"/>
    <col min="12032" max="12032" width="10.5703125" style="1" customWidth="1"/>
    <col min="12033" max="12033" width="77.140625" style="1" customWidth="1"/>
    <col min="12034" max="12034" width="7.7109375" style="1" customWidth="1"/>
    <col min="12035" max="12035" width="13.28515625" style="1" bestFit="1" customWidth="1"/>
    <col min="12036" max="12036" width="15.42578125" style="1" customWidth="1"/>
    <col min="12037" max="12037" width="15.42578125" style="1" bestFit="1" customWidth="1"/>
    <col min="12038" max="12038" width="21.5703125" style="1" customWidth="1"/>
    <col min="12039" max="12039" width="9.140625" style="1"/>
    <col min="12040" max="12040" width="16.5703125" style="1" bestFit="1" customWidth="1"/>
    <col min="12041" max="12286" width="9.140625" style="1"/>
    <col min="12287" max="12287" width="6.140625" style="1" customWidth="1"/>
    <col min="12288" max="12288" width="10.5703125" style="1" customWidth="1"/>
    <col min="12289" max="12289" width="77.140625" style="1" customWidth="1"/>
    <col min="12290" max="12290" width="7.7109375" style="1" customWidth="1"/>
    <col min="12291" max="12291" width="13.28515625" style="1" bestFit="1" customWidth="1"/>
    <col min="12292" max="12292" width="15.42578125" style="1" customWidth="1"/>
    <col min="12293" max="12293" width="15.42578125" style="1" bestFit="1" customWidth="1"/>
    <col min="12294" max="12294" width="21.5703125" style="1" customWidth="1"/>
    <col min="12295" max="12295" width="9.140625" style="1"/>
    <col min="12296" max="12296" width="16.5703125" style="1" bestFit="1" customWidth="1"/>
    <col min="12297" max="12542" width="9.140625" style="1"/>
    <col min="12543" max="12543" width="6.140625" style="1" customWidth="1"/>
    <col min="12544" max="12544" width="10.5703125" style="1" customWidth="1"/>
    <col min="12545" max="12545" width="77.140625" style="1" customWidth="1"/>
    <col min="12546" max="12546" width="7.7109375" style="1" customWidth="1"/>
    <col min="12547" max="12547" width="13.28515625" style="1" bestFit="1" customWidth="1"/>
    <col min="12548" max="12548" width="15.42578125" style="1" customWidth="1"/>
    <col min="12549" max="12549" width="15.42578125" style="1" bestFit="1" customWidth="1"/>
    <col min="12550" max="12550" width="21.5703125" style="1" customWidth="1"/>
    <col min="12551" max="12551" width="9.140625" style="1"/>
    <col min="12552" max="12552" width="16.5703125" style="1" bestFit="1" customWidth="1"/>
    <col min="12553" max="12798" width="9.140625" style="1"/>
    <col min="12799" max="12799" width="6.140625" style="1" customWidth="1"/>
    <col min="12800" max="12800" width="10.5703125" style="1" customWidth="1"/>
    <col min="12801" max="12801" width="77.140625" style="1" customWidth="1"/>
    <col min="12802" max="12802" width="7.7109375" style="1" customWidth="1"/>
    <col min="12803" max="12803" width="13.28515625" style="1" bestFit="1" customWidth="1"/>
    <col min="12804" max="12804" width="15.42578125" style="1" customWidth="1"/>
    <col min="12805" max="12805" width="15.42578125" style="1" bestFit="1" customWidth="1"/>
    <col min="12806" max="12806" width="21.5703125" style="1" customWidth="1"/>
    <col min="12807" max="12807" width="9.140625" style="1"/>
    <col min="12808" max="12808" width="16.5703125" style="1" bestFit="1" customWidth="1"/>
    <col min="12809" max="13054" width="9.140625" style="1"/>
    <col min="13055" max="13055" width="6.140625" style="1" customWidth="1"/>
    <col min="13056" max="13056" width="10.5703125" style="1" customWidth="1"/>
    <col min="13057" max="13057" width="77.140625" style="1" customWidth="1"/>
    <col min="13058" max="13058" width="7.7109375" style="1" customWidth="1"/>
    <col min="13059" max="13059" width="13.28515625" style="1" bestFit="1" customWidth="1"/>
    <col min="13060" max="13060" width="15.42578125" style="1" customWidth="1"/>
    <col min="13061" max="13061" width="15.42578125" style="1" bestFit="1" customWidth="1"/>
    <col min="13062" max="13062" width="21.5703125" style="1" customWidth="1"/>
    <col min="13063" max="13063" width="9.140625" style="1"/>
    <col min="13064" max="13064" width="16.5703125" style="1" bestFit="1" customWidth="1"/>
    <col min="13065" max="13310" width="9.140625" style="1"/>
    <col min="13311" max="13311" width="6.140625" style="1" customWidth="1"/>
    <col min="13312" max="13312" width="10.5703125" style="1" customWidth="1"/>
    <col min="13313" max="13313" width="77.140625" style="1" customWidth="1"/>
    <col min="13314" max="13314" width="7.7109375" style="1" customWidth="1"/>
    <col min="13315" max="13315" width="13.28515625" style="1" bestFit="1" customWidth="1"/>
    <col min="13316" max="13316" width="15.42578125" style="1" customWidth="1"/>
    <col min="13317" max="13317" width="15.42578125" style="1" bestFit="1" customWidth="1"/>
    <col min="13318" max="13318" width="21.5703125" style="1" customWidth="1"/>
    <col min="13319" max="13319" width="9.140625" style="1"/>
    <col min="13320" max="13320" width="16.5703125" style="1" bestFit="1" customWidth="1"/>
    <col min="13321" max="13566" width="9.140625" style="1"/>
    <col min="13567" max="13567" width="6.140625" style="1" customWidth="1"/>
    <col min="13568" max="13568" width="10.5703125" style="1" customWidth="1"/>
    <col min="13569" max="13569" width="77.140625" style="1" customWidth="1"/>
    <col min="13570" max="13570" width="7.7109375" style="1" customWidth="1"/>
    <col min="13571" max="13571" width="13.28515625" style="1" bestFit="1" customWidth="1"/>
    <col min="13572" max="13572" width="15.42578125" style="1" customWidth="1"/>
    <col min="13573" max="13573" width="15.42578125" style="1" bestFit="1" customWidth="1"/>
    <col min="13574" max="13574" width="21.5703125" style="1" customWidth="1"/>
    <col min="13575" max="13575" width="9.140625" style="1"/>
    <col min="13576" max="13576" width="16.5703125" style="1" bestFit="1" customWidth="1"/>
    <col min="13577" max="13822" width="9.140625" style="1"/>
    <col min="13823" max="13823" width="6.140625" style="1" customWidth="1"/>
    <col min="13824" max="13824" width="10.5703125" style="1" customWidth="1"/>
    <col min="13825" max="13825" width="77.140625" style="1" customWidth="1"/>
    <col min="13826" max="13826" width="7.7109375" style="1" customWidth="1"/>
    <col min="13827" max="13827" width="13.28515625" style="1" bestFit="1" customWidth="1"/>
    <col min="13828" max="13828" width="15.42578125" style="1" customWidth="1"/>
    <col min="13829" max="13829" width="15.42578125" style="1" bestFit="1" customWidth="1"/>
    <col min="13830" max="13830" width="21.5703125" style="1" customWidth="1"/>
    <col min="13831" max="13831" width="9.140625" style="1"/>
    <col min="13832" max="13832" width="16.5703125" style="1" bestFit="1" customWidth="1"/>
    <col min="13833" max="14078" width="9.140625" style="1"/>
    <col min="14079" max="14079" width="6.140625" style="1" customWidth="1"/>
    <col min="14080" max="14080" width="10.5703125" style="1" customWidth="1"/>
    <col min="14081" max="14081" width="77.140625" style="1" customWidth="1"/>
    <col min="14082" max="14082" width="7.7109375" style="1" customWidth="1"/>
    <col min="14083" max="14083" width="13.28515625" style="1" bestFit="1" customWidth="1"/>
    <col min="14084" max="14084" width="15.42578125" style="1" customWidth="1"/>
    <col min="14085" max="14085" width="15.42578125" style="1" bestFit="1" customWidth="1"/>
    <col min="14086" max="14086" width="21.5703125" style="1" customWidth="1"/>
    <col min="14087" max="14087" width="9.140625" style="1"/>
    <col min="14088" max="14088" width="16.5703125" style="1" bestFit="1" customWidth="1"/>
    <col min="14089" max="14334" width="9.140625" style="1"/>
    <col min="14335" max="14335" width="6.140625" style="1" customWidth="1"/>
    <col min="14336" max="14336" width="10.5703125" style="1" customWidth="1"/>
    <col min="14337" max="14337" width="77.140625" style="1" customWidth="1"/>
    <col min="14338" max="14338" width="7.7109375" style="1" customWidth="1"/>
    <col min="14339" max="14339" width="13.28515625" style="1" bestFit="1" customWidth="1"/>
    <col min="14340" max="14340" width="15.42578125" style="1" customWidth="1"/>
    <col min="14341" max="14341" width="15.42578125" style="1" bestFit="1" customWidth="1"/>
    <col min="14342" max="14342" width="21.5703125" style="1" customWidth="1"/>
    <col min="14343" max="14343" width="9.140625" style="1"/>
    <col min="14344" max="14344" width="16.5703125" style="1" bestFit="1" customWidth="1"/>
    <col min="14345" max="14590" width="9.140625" style="1"/>
    <col min="14591" max="14591" width="6.140625" style="1" customWidth="1"/>
    <col min="14592" max="14592" width="10.5703125" style="1" customWidth="1"/>
    <col min="14593" max="14593" width="77.140625" style="1" customWidth="1"/>
    <col min="14594" max="14594" width="7.7109375" style="1" customWidth="1"/>
    <col min="14595" max="14595" width="13.28515625" style="1" bestFit="1" customWidth="1"/>
    <col min="14596" max="14596" width="15.42578125" style="1" customWidth="1"/>
    <col min="14597" max="14597" width="15.42578125" style="1" bestFit="1" customWidth="1"/>
    <col min="14598" max="14598" width="21.5703125" style="1" customWidth="1"/>
    <col min="14599" max="14599" width="9.140625" style="1"/>
    <col min="14600" max="14600" width="16.5703125" style="1" bestFit="1" customWidth="1"/>
    <col min="14601" max="14846" width="9.140625" style="1"/>
    <col min="14847" max="14847" width="6.140625" style="1" customWidth="1"/>
    <col min="14848" max="14848" width="10.5703125" style="1" customWidth="1"/>
    <col min="14849" max="14849" width="77.140625" style="1" customWidth="1"/>
    <col min="14850" max="14850" width="7.7109375" style="1" customWidth="1"/>
    <col min="14851" max="14851" width="13.28515625" style="1" bestFit="1" customWidth="1"/>
    <col min="14852" max="14852" width="15.42578125" style="1" customWidth="1"/>
    <col min="14853" max="14853" width="15.42578125" style="1" bestFit="1" customWidth="1"/>
    <col min="14854" max="14854" width="21.5703125" style="1" customWidth="1"/>
    <col min="14855" max="14855" width="9.140625" style="1"/>
    <col min="14856" max="14856" width="16.5703125" style="1" bestFit="1" customWidth="1"/>
    <col min="14857" max="15102" width="9.140625" style="1"/>
    <col min="15103" max="15103" width="6.140625" style="1" customWidth="1"/>
    <col min="15104" max="15104" width="10.5703125" style="1" customWidth="1"/>
    <col min="15105" max="15105" width="77.140625" style="1" customWidth="1"/>
    <col min="15106" max="15106" width="7.7109375" style="1" customWidth="1"/>
    <col min="15107" max="15107" width="13.28515625" style="1" bestFit="1" customWidth="1"/>
    <col min="15108" max="15108" width="15.42578125" style="1" customWidth="1"/>
    <col min="15109" max="15109" width="15.42578125" style="1" bestFit="1" customWidth="1"/>
    <col min="15110" max="15110" width="21.5703125" style="1" customWidth="1"/>
    <col min="15111" max="15111" width="9.140625" style="1"/>
    <col min="15112" max="15112" width="16.5703125" style="1" bestFit="1" customWidth="1"/>
    <col min="15113" max="15358" width="9.140625" style="1"/>
    <col min="15359" max="15359" width="6.140625" style="1" customWidth="1"/>
    <col min="15360" max="15360" width="10.5703125" style="1" customWidth="1"/>
    <col min="15361" max="15361" width="77.140625" style="1" customWidth="1"/>
    <col min="15362" max="15362" width="7.7109375" style="1" customWidth="1"/>
    <col min="15363" max="15363" width="13.28515625" style="1" bestFit="1" customWidth="1"/>
    <col min="15364" max="15364" width="15.42578125" style="1" customWidth="1"/>
    <col min="15365" max="15365" width="15.42578125" style="1" bestFit="1" customWidth="1"/>
    <col min="15366" max="15366" width="21.5703125" style="1" customWidth="1"/>
    <col min="15367" max="15367" width="9.140625" style="1"/>
    <col min="15368" max="15368" width="16.5703125" style="1" bestFit="1" customWidth="1"/>
    <col min="15369" max="15614" width="9.140625" style="1"/>
    <col min="15615" max="15615" width="6.140625" style="1" customWidth="1"/>
    <col min="15616" max="15616" width="10.5703125" style="1" customWidth="1"/>
    <col min="15617" max="15617" width="77.140625" style="1" customWidth="1"/>
    <col min="15618" max="15618" width="7.7109375" style="1" customWidth="1"/>
    <col min="15619" max="15619" width="13.28515625" style="1" bestFit="1" customWidth="1"/>
    <col min="15620" max="15620" width="15.42578125" style="1" customWidth="1"/>
    <col min="15621" max="15621" width="15.42578125" style="1" bestFit="1" customWidth="1"/>
    <col min="15622" max="15622" width="21.5703125" style="1" customWidth="1"/>
    <col min="15623" max="15623" width="9.140625" style="1"/>
    <col min="15624" max="15624" width="16.5703125" style="1" bestFit="1" customWidth="1"/>
    <col min="15625" max="15870" width="9.140625" style="1"/>
    <col min="15871" max="15871" width="6.140625" style="1" customWidth="1"/>
    <col min="15872" max="15872" width="10.5703125" style="1" customWidth="1"/>
    <col min="15873" max="15873" width="77.140625" style="1" customWidth="1"/>
    <col min="15874" max="15874" width="7.7109375" style="1" customWidth="1"/>
    <col min="15875" max="15875" width="13.28515625" style="1" bestFit="1" customWidth="1"/>
    <col min="15876" max="15876" width="15.42578125" style="1" customWidth="1"/>
    <col min="15877" max="15877" width="15.42578125" style="1" bestFit="1" customWidth="1"/>
    <col min="15878" max="15878" width="21.5703125" style="1" customWidth="1"/>
    <col min="15879" max="15879" width="9.140625" style="1"/>
    <col min="15880" max="15880" width="16.5703125" style="1" bestFit="1" customWidth="1"/>
    <col min="15881" max="16126" width="9.140625" style="1"/>
    <col min="16127" max="16127" width="6.140625" style="1" customWidth="1"/>
    <col min="16128" max="16128" width="10.5703125" style="1" customWidth="1"/>
    <col min="16129" max="16129" width="77.140625" style="1" customWidth="1"/>
    <col min="16130" max="16130" width="7.7109375" style="1" customWidth="1"/>
    <col min="16131" max="16131" width="13.28515625" style="1" bestFit="1" customWidth="1"/>
    <col min="16132" max="16132" width="15.42578125" style="1" customWidth="1"/>
    <col min="16133" max="16133" width="15.42578125" style="1" bestFit="1" customWidth="1"/>
    <col min="16134" max="16134" width="21.5703125" style="1" customWidth="1"/>
    <col min="16135" max="16135" width="9.140625" style="1"/>
    <col min="16136" max="16136" width="16.5703125" style="1" bestFit="1" customWidth="1"/>
    <col min="16137" max="16384" width="9.140625" style="1"/>
  </cols>
  <sheetData>
    <row r="1" spans="1:7" ht="18" x14ac:dyDescent="0.25">
      <c r="A1" s="170"/>
      <c r="B1" s="171"/>
      <c r="C1" s="172" t="s">
        <v>20</v>
      </c>
      <c r="D1" s="173"/>
      <c r="E1" s="306"/>
      <c r="F1" s="293"/>
    </row>
    <row r="2" spans="1:7" x14ac:dyDescent="0.2">
      <c r="A2" s="174"/>
      <c r="B2" s="175"/>
      <c r="C2" s="176" t="s">
        <v>19</v>
      </c>
      <c r="D2" s="177"/>
      <c r="E2" s="307"/>
      <c r="F2" s="294"/>
    </row>
    <row r="3" spans="1:7" x14ac:dyDescent="0.2">
      <c r="A3" s="178"/>
      <c r="B3" s="28"/>
      <c r="C3" s="28"/>
      <c r="D3" s="177"/>
      <c r="E3" s="307"/>
      <c r="F3" s="294"/>
    </row>
    <row r="4" spans="1:7" x14ac:dyDescent="0.2">
      <c r="A4" s="178"/>
      <c r="B4" s="28"/>
      <c r="C4" s="85"/>
      <c r="D4" s="177"/>
      <c r="E4" s="307"/>
      <c r="F4" s="294"/>
    </row>
    <row r="5" spans="1:7" ht="20.100000000000001" customHeight="1" x14ac:dyDescent="0.2">
      <c r="A5" s="179" t="s">
        <v>14</v>
      </c>
      <c r="B5" s="180"/>
      <c r="C5" s="85"/>
      <c r="D5" s="177"/>
      <c r="E5" s="307"/>
      <c r="F5" s="294"/>
    </row>
    <row r="6" spans="1:7" ht="20.100000000000001" customHeight="1" x14ac:dyDescent="0.2">
      <c r="A6" s="181" t="s">
        <v>18</v>
      </c>
      <c r="B6" s="12"/>
      <c r="C6" s="85"/>
      <c r="D6" s="177"/>
      <c r="E6" s="307"/>
      <c r="F6" s="294"/>
    </row>
    <row r="7" spans="1:7" ht="20.100000000000001" customHeight="1" x14ac:dyDescent="0.2">
      <c r="A7" s="182" t="s">
        <v>193</v>
      </c>
      <c r="B7" s="12"/>
      <c r="C7" s="13"/>
      <c r="D7" s="14"/>
      <c r="E7" s="308"/>
      <c r="F7" s="287"/>
    </row>
    <row r="8" spans="1:7" ht="27" customHeight="1" thickBot="1" x14ac:dyDescent="0.25">
      <c r="A8" s="179" t="s">
        <v>422</v>
      </c>
      <c r="B8" s="180"/>
      <c r="C8" s="15"/>
      <c r="D8" s="29"/>
      <c r="E8" s="309"/>
      <c r="F8" s="295"/>
    </row>
    <row r="9" spans="1:7" ht="20.100000000000001" customHeight="1" x14ac:dyDescent="0.2">
      <c r="A9" s="16" t="s">
        <v>0</v>
      </c>
      <c r="B9" s="17" t="s">
        <v>382</v>
      </c>
      <c r="C9" s="18" t="s">
        <v>1</v>
      </c>
      <c r="D9" s="187" t="s">
        <v>2</v>
      </c>
      <c r="E9" s="317" t="s">
        <v>423</v>
      </c>
      <c r="F9" s="296" t="s">
        <v>388</v>
      </c>
    </row>
    <row r="10" spans="1:7" ht="20.100000000000001" customHeight="1" x14ac:dyDescent="0.2">
      <c r="A10" s="19" t="s">
        <v>29</v>
      </c>
      <c r="B10" s="20"/>
      <c r="C10" s="21" t="s">
        <v>26</v>
      </c>
      <c r="D10" s="21"/>
      <c r="E10" s="310"/>
      <c r="F10" s="297"/>
    </row>
    <row r="11" spans="1:7" ht="30" customHeight="1" x14ac:dyDescent="0.2">
      <c r="A11" s="24" t="s">
        <v>8</v>
      </c>
      <c r="B11" s="4" t="s">
        <v>316</v>
      </c>
      <c r="C11" s="5" t="s">
        <v>25</v>
      </c>
      <c r="D11" s="4" t="s">
        <v>424</v>
      </c>
      <c r="E11" s="305" t="s">
        <v>389</v>
      </c>
      <c r="F11" s="288">
        <v>2</v>
      </c>
    </row>
    <row r="12" spans="1:7" ht="30" customHeight="1" x14ac:dyDescent="0.2">
      <c r="A12" s="24" t="s">
        <v>10</v>
      </c>
      <c r="B12" s="4" t="s">
        <v>317</v>
      </c>
      <c r="C12" s="5" t="s">
        <v>330</v>
      </c>
      <c r="D12" s="4" t="s">
        <v>9</v>
      </c>
      <c r="E12" s="305" t="s">
        <v>425</v>
      </c>
      <c r="F12" s="288">
        <v>2.88</v>
      </c>
    </row>
    <row r="13" spans="1:7" ht="30" customHeight="1" x14ac:dyDescent="0.2">
      <c r="A13" s="24" t="s">
        <v>12</v>
      </c>
      <c r="B13" s="4" t="s">
        <v>351</v>
      </c>
      <c r="C13" s="262" t="s">
        <v>331</v>
      </c>
      <c r="D13" s="4" t="s">
        <v>9</v>
      </c>
      <c r="E13" s="305" t="s">
        <v>390</v>
      </c>
      <c r="F13" s="288">
        <f>F29</f>
        <v>31100</v>
      </c>
    </row>
    <row r="14" spans="1:7" ht="30" customHeight="1" x14ac:dyDescent="0.2">
      <c r="A14" s="24" t="s">
        <v>168</v>
      </c>
      <c r="B14" s="4" t="s">
        <v>352</v>
      </c>
      <c r="C14" s="5" t="s">
        <v>340</v>
      </c>
      <c r="D14" s="4" t="s">
        <v>162</v>
      </c>
      <c r="E14" s="305" t="s">
        <v>391</v>
      </c>
      <c r="F14" s="288">
        <v>100</v>
      </c>
      <c r="G14" s="256"/>
    </row>
    <row r="15" spans="1:7" ht="20.100000000000001" customHeight="1" x14ac:dyDescent="0.2">
      <c r="A15" s="320"/>
      <c r="B15" s="321"/>
      <c r="C15" s="321"/>
      <c r="D15" s="321"/>
      <c r="E15" s="321"/>
      <c r="F15" s="321"/>
    </row>
    <row r="16" spans="1:7" ht="20.100000000000001" customHeight="1" x14ac:dyDescent="0.2">
      <c r="A16" s="30" t="s">
        <v>31</v>
      </c>
      <c r="B16" s="31"/>
      <c r="C16" s="32" t="s">
        <v>30</v>
      </c>
      <c r="D16" s="27"/>
      <c r="E16" s="311"/>
      <c r="F16" s="289"/>
    </row>
    <row r="17" spans="1:6" ht="30" customHeight="1" x14ac:dyDescent="0.2">
      <c r="A17" s="24" t="s">
        <v>32</v>
      </c>
      <c r="B17" s="4">
        <v>90099</v>
      </c>
      <c r="C17" s="26" t="s">
        <v>356</v>
      </c>
      <c r="D17" s="27" t="s">
        <v>11</v>
      </c>
      <c r="E17" s="311" t="s">
        <v>392</v>
      </c>
      <c r="F17" s="289">
        <f>(F20+F19)*1.5</f>
        <v>255</v>
      </c>
    </row>
    <row r="18" spans="1:6" ht="30" customHeight="1" x14ac:dyDescent="0.2">
      <c r="A18" s="24" t="s">
        <v>33</v>
      </c>
      <c r="B18" s="27">
        <v>101616</v>
      </c>
      <c r="C18" s="26" t="s">
        <v>385</v>
      </c>
      <c r="D18" s="27" t="s">
        <v>9</v>
      </c>
      <c r="E18" s="311" t="s">
        <v>393</v>
      </c>
      <c r="F18" s="289">
        <f>F19+F20</f>
        <v>170</v>
      </c>
    </row>
    <row r="19" spans="1:6" ht="30" customHeight="1" x14ac:dyDescent="0.2">
      <c r="A19" s="24" t="s">
        <v>38</v>
      </c>
      <c r="B19" s="27">
        <v>37451</v>
      </c>
      <c r="C19" s="26" t="s">
        <v>358</v>
      </c>
      <c r="D19" s="27" t="s">
        <v>37</v>
      </c>
      <c r="E19" s="311" t="s">
        <v>394</v>
      </c>
      <c r="F19" s="289">
        <v>70</v>
      </c>
    </row>
    <row r="20" spans="1:6" ht="30" customHeight="1" x14ac:dyDescent="0.2">
      <c r="A20" s="24" t="s">
        <v>39</v>
      </c>
      <c r="B20" s="27">
        <v>37453</v>
      </c>
      <c r="C20" s="26" t="s">
        <v>359</v>
      </c>
      <c r="D20" s="27" t="s">
        <v>37</v>
      </c>
      <c r="E20" s="311" t="s">
        <v>395</v>
      </c>
      <c r="F20" s="289">
        <v>100</v>
      </c>
    </row>
    <row r="21" spans="1:6" ht="30" customHeight="1" x14ac:dyDescent="0.2">
      <c r="A21" s="24" t="s">
        <v>40</v>
      </c>
      <c r="B21" s="27">
        <v>92809</v>
      </c>
      <c r="C21" s="26" t="s">
        <v>383</v>
      </c>
      <c r="D21" s="27" t="s">
        <v>37</v>
      </c>
      <c r="E21" s="311" t="s">
        <v>394</v>
      </c>
      <c r="F21" s="289">
        <v>70</v>
      </c>
    </row>
    <row r="22" spans="1:6" ht="30" customHeight="1" x14ac:dyDescent="0.2">
      <c r="A22" s="24" t="s">
        <v>198</v>
      </c>
      <c r="B22" s="27">
        <v>92811</v>
      </c>
      <c r="C22" s="26" t="s">
        <v>361</v>
      </c>
      <c r="D22" s="27" t="s">
        <v>37</v>
      </c>
      <c r="E22" s="311" t="s">
        <v>395</v>
      </c>
      <c r="F22" s="289">
        <f>F20</f>
        <v>100</v>
      </c>
    </row>
    <row r="23" spans="1:6" ht="30" customHeight="1" x14ac:dyDescent="0.2">
      <c r="A23" s="24" t="s">
        <v>199</v>
      </c>
      <c r="B23" s="27">
        <v>93367</v>
      </c>
      <c r="C23" s="26" t="s">
        <v>357</v>
      </c>
      <c r="D23" s="27" t="s">
        <v>11</v>
      </c>
      <c r="E23" s="311" t="s">
        <v>396</v>
      </c>
      <c r="F23" s="289">
        <f>F17-(F20*0.3*0.3*3.14)-(F21*0.2*0.2*3.14)</f>
        <v>217.94800000000001</v>
      </c>
    </row>
    <row r="24" spans="1:6" ht="30" customHeight="1" x14ac:dyDescent="0.2">
      <c r="A24" s="24" t="s">
        <v>200</v>
      </c>
      <c r="B24" s="27">
        <v>102737</v>
      </c>
      <c r="C24" s="26" t="s">
        <v>384</v>
      </c>
      <c r="D24" s="27" t="s">
        <v>34</v>
      </c>
      <c r="E24" s="311" t="s">
        <v>397</v>
      </c>
      <c r="F24" s="289">
        <v>14</v>
      </c>
    </row>
    <row r="25" spans="1:6" ht="30" customHeight="1" x14ac:dyDescent="0.2">
      <c r="A25" s="24" t="s">
        <v>386</v>
      </c>
      <c r="B25" s="27">
        <v>102738</v>
      </c>
      <c r="C25" s="26" t="s">
        <v>360</v>
      </c>
      <c r="D25" s="27" t="s">
        <v>34</v>
      </c>
      <c r="E25" s="311" t="s">
        <v>397</v>
      </c>
      <c r="F25" s="289">
        <v>10</v>
      </c>
    </row>
    <row r="26" spans="1:6" ht="20.100000000000001" customHeight="1" x14ac:dyDescent="0.2">
      <c r="A26" s="320"/>
      <c r="B26" s="321"/>
      <c r="C26" s="321"/>
      <c r="D26" s="321"/>
      <c r="E26" s="321"/>
      <c r="F26" s="321"/>
    </row>
    <row r="27" spans="1:6" ht="20.100000000000001" customHeight="1" x14ac:dyDescent="0.2">
      <c r="A27" s="30" t="s">
        <v>36</v>
      </c>
      <c r="B27" s="31"/>
      <c r="C27" s="32" t="s">
        <v>369</v>
      </c>
      <c r="D27" s="27"/>
      <c r="E27" s="311"/>
      <c r="F27" s="289"/>
    </row>
    <row r="28" spans="1:6" ht="20.100000000000001" customHeight="1" x14ac:dyDescent="0.2">
      <c r="A28" s="30" t="s">
        <v>42</v>
      </c>
      <c r="B28" s="31"/>
      <c r="C28" s="32" t="s">
        <v>365</v>
      </c>
      <c r="D28" s="27"/>
      <c r="E28" s="311"/>
      <c r="F28" s="289"/>
    </row>
    <row r="29" spans="1:6" ht="30" customHeight="1" x14ac:dyDescent="0.2">
      <c r="A29" s="24" t="s">
        <v>363</v>
      </c>
      <c r="B29" s="4">
        <v>98525</v>
      </c>
      <c r="C29" s="5" t="s">
        <v>206</v>
      </c>
      <c r="D29" s="4" t="s">
        <v>9</v>
      </c>
      <c r="E29" s="305" t="s">
        <v>398</v>
      </c>
      <c r="F29" s="288">
        <f>3110*10</f>
        <v>31100</v>
      </c>
    </row>
    <row r="30" spans="1:6" ht="30" customHeight="1" x14ac:dyDescent="0.2">
      <c r="A30" s="24" t="s">
        <v>364</v>
      </c>
      <c r="B30" s="4">
        <v>100938</v>
      </c>
      <c r="C30" s="5" t="s">
        <v>387</v>
      </c>
      <c r="D30" s="4" t="s">
        <v>11</v>
      </c>
      <c r="E30" s="312" t="s">
        <v>399</v>
      </c>
      <c r="F30" s="290">
        <f>F29*0.1*1.3</f>
        <v>4043</v>
      </c>
    </row>
    <row r="31" spans="1:6" ht="20.100000000000001" customHeight="1" x14ac:dyDescent="0.2">
      <c r="A31" s="30" t="s">
        <v>43</v>
      </c>
      <c r="B31" s="4"/>
      <c r="C31" s="303" t="s">
        <v>35</v>
      </c>
      <c r="D31" s="4"/>
      <c r="E31" s="312"/>
      <c r="F31" s="290"/>
    </row>
    <row r="32" spans="1:6" ht="38.25" x14ac:dyDescent="0.2">
      <c r="A32" s="24" t="s">
        <v>366</v>
      </c>
      <c r="B32" s="4">
        <v>101127</v>
      </c>
      <c r="C32" s="5" t="s">
        <v>194</v>
      </c>
      <c r="D32" s="4" t="s">
        <v>11</v>
      </c>
      <c r="E32" s="312" t="s">
        <v>400</v>
      </c>
      <c r="F32" s="290">
        <f>3110*0.5*8</f>
        <v>12440</v>
      </c>
    </row>
    <row r="33" spans="1:6" ht="30" customHeight="1" x14ac:dyDescent="0.2">
      <c r="A33" s="24" t="s">
        <v>367</v>
      </c>
      <c r="B33" s="4">
        <v>100938</v>
      </c>
      <c r="C33" s="5" t="s">
        <v>362</v>
      </c>
      <c r="D33" s="4" t="s">
        <v>11</v>
      </c>
      <c r="E33" s="312" t="s">
        <v>401</v>
      </c>
      <c r="F33" s="290">
        <f>F32*1.3</f>
        <v>16172</v>
      </c>
    </row>
    <row r="34" spans="1:6" ht="38.25" x14ac:dyDescent="0.2">
      <c r="A34" s="24" t="s">
        <v>368</v>
      </c>
      <c r="B34" s="4">
        <v>96385</v>
      </c>
      <c r="C34" s="5" t="s">
        <v>370</v>
      </c>
      <c r="D34" s="4" t="s">
        <v>11</v>
      </c>
      <c r="E34" s="312" t="s">
        <v>402</v>
      </c>
      <c r="F34" s="290">
        <f>F32*0.7</f>
        <v>8708</v>
      </c>
    </row>
    <row r="35" spans="1:6" ht="20.100000000000001" customHeight="1" x14ac:dyDescent="0.2">
      <c r="A35" s="320"/>
      <c r="B35" s="321"/>
      <c r="C35" s="321"/>
      <c r="D35" s="321"/>
      <c r="E35" s="321"/>
      <c r="F35" s="321"/>
    </row>
    <row r="36" spans="1:6" ht="20.100000000000001" customHeight="1" x14ac:dyDescent="0.2">
      <c r="A36" s="30" t="s">
        <v>41</v>
      </c>
      <c r="B36" s="31"/>
      <c r="C36" s="32" t="s">
        <v>68</v>
      </c>
      <c r="D36" s="27"/>
      <c r="E36" s="311"/>
      <c r="F36" s="289"/>
    </row>
    <row r="37" spans="1:6" ht="30" customHeight="1" x14ac:dyDescent="0.2">
      <c r="A37" s="24" t="s">
        <v>44</v>
      </c>
      <c r="B37" s="4">
        <v>100576</v>
      </c>
      <c r="C37" s="5" t="s">
        <v>207</v>
      </c>
      <c r="D37" s="4" t="s">
        <v>9</v>
      </c>
      <c r="E37" s="312" t="s">
        <v>403</v>
      </c>
      <c r="F37" s="290">
        <f>F29</f>
        <v>31100</v>
      </c>
    </row>
    <row r="38" spans="1:6" ht="30" customHeight="1" x14ac:dyDescent="0.2">
      <c r="A38" s="24" t="s">
        <v>45</v>
      </c>
      <c r="B38" s="4">
        <v>96400</v>
      </c>
      <c r="C38" s="5" t="s">
        <v>195</v>
      </c>
      <c r="D38" s="4" t="s">
        <v>11</v>
      </c>
      <c r="E38" s="312" t="s">
        <v>405</v>
      </c>
      <c r="F38" s="290">
        <f>F41*0.2</f>
        <v>4665</v>
      </c>
    </row>
    <row r="39" spans="1:6" ht="30" customHeight="1" x14ac:dyDescent="0.2">
      <c r="A39" s="24" t="s">
        <v>46</v>
      </c>
      <c r="B39" s="22" t="s">
        <v>15</v>
      </c>
      <c r="C39" s="6" t="s">
        <v>372</v>
      </c>
      <c r="D39" s="7" t="s">
        <v>11</v>
      </c>
      <c r="E39" s="312" t="s">
        <v>406</v>
      </c>
      <c r="F39" s="290">
        <f>F41*0.15</f>
        <v>3498.75</v>
      </c>
    </row>
    <row r="40" spans="1:6" ht="30" customHeight="1" x14ac:dyDescent="0.2">
      <c r="A40" s="24" t="s">
        <v>47</v>
      </c>
      <c r="B40" s="23" t="s">
        <v>16</v>
      </c>
      <c r="C40" s="5" t="s">
        <v>23</v>
      </c>
      <c r="D40" s="4" t="s">
        <v>17</v>
      </c>
      <c r="E40" s="313" t="s">
        <v>407</v>
      </c>
      <c r="F40" s="291">
        <f>(F38+F39)*40</f>
        <v>326550</v>
      </c>
    </row>
    <row r="41" spans="1:6" ht="30" customHeight="1" x14ac:dyDescent="0.2">
      <c r="A41" s="24" t="s">
        <v>48</v>
      </c>
      <c r="B41" s="25" t="s">
        <v>353</v>
      </c>
      <c r="C41" s="26" t="s">
        <v>375</v>
      </c>
      <c r="D41" s="27" t="s">
        <v>9</v>
      </c>
      <c r="E41" s="312" t="s">
        <v>404</v>
      </c>
      <c r="F41" s="290">
        <f>3110*7.5</f>
        <v>23325</v>
      </c>
    </row>
    <row r="42" spans="1:6" ht="30" customHeight="1" x14ac:dyDescent="0.2">
      <c r="A42" s="24" t="s">
        <v>49</v>
      </c>
      <c r="B42" s="8">
        <v>96402</v>
      </c>
      <c r="C42" s="5" t="s">
        <v>371</v>
      </c>
      <c r="D42" s="4" t="s">
        <v>9</v>
      </c>
      <c r="E42" s="312" t="s">
        <v>408</v>
      </c>
      <c r="F42" s="288">
        <v>20053</v>
      </c>
    </row>
    <row r="43" spans="1:6" ht="30" customHeight="1" x14ac:dyDescent="0.2">
      <c r="A43" s="24" t="s">
        <v>50</v>
      </c>
      <c r="B43" s="8" t="s">
        <v>354</v>
      </c>
      <c r="C43" s="9" t="s">
        <v>373</v>
      </c>
      <c r="D43" s="4" t="s">
        <v>11</v>
      </c>
      <c r="E43" s="312" t="s">
        <v>409</v>
      </c>
      <c r="F43" s="292">
        <f>F42*0.03</f>
        <v>601.59</v>
      </c>
    </row>
    <row r="44" spans="1:6" ht="30" customHeight="1" x14ac:dyDescent="0.2">
      <c r="A44" s="24" t="s">
        <v>51</v>
      </c>
      <c r="B44" s="10">
        <v>102330</v>
      </c>
      <c r="C44" s="11" t="s">
        <v>374</v>
      </c>
      <c r="D44" s="7" t="s">
        <v>13</v>
      </c>
      <c r="E44" s="314" t="s">
        <v>419</v>
      </c>
      <c r="F44" s="292">
        <f>(((F43*2.5548*'Composições '!E54)+((F41*1.2)/1000)+((F42*0.45)/1000)))*420</f>
        <v>56361.774422671195</v>
      </c>
    </row>
    <row r="45" spans="1:6" ht="30" customHeight="1" x14ac:dyDescent="0.2">
      <c r="A45" s="24" t="s">
        <v>52</v>
      </c>
      <c r="B45" s="10">
        <v>95875</v>
      </c>
      <c r="C45" s="6" t="s">
        <v>24</v>
      </c>
      <c r="D45" s="7" t="s">
        <v>17</v>
      </c>
      <c r="E45" s="314" t="s">
        <v>410</v>
      </c>
      <c r="F45" s="288">
        <f>F43*40</f>
        <v>24063.600000000002</v>
      </c>
    </row>
    <row r="46" spans="1:6" ht="20.100000000000001" customHeight="1" x14ac:dyDescent="0.2">
      <c r="A46" s="320"/>
      <c r="B46" s="321"/>
      <c r="C46" s="321"/>
      <c r="D46" s="321"/>
      <c r="E46" s="321"/>
      <c r="F46" s="321"/>
    </row>
    <row r="47" spans="1:6" ht="20.100000000000001" customHeight="1" x14ac:dyDescent="0.2">
      <c r="A47" s="30" t="s">
        <v>53</v>
      </c>
      <c r="B47" s="31"/>
      <c r="C47" s="32" t="s">
        <v>69</v>
      </c>
      <c r="D47" s="27"/>
      <c r="E47" s="311"/>
      <c r="F47" s="289"/>
    </row>
    <row r="48" spans="1:6" ht="30" customHeight="1" x14ac:dyDescent="0.2">
      <c r="A48" s="24" t="s">
        <v>54</v>
      </c>
      <c r="B48" s="27">
        <v>99814</v>
      </c>
      <c r="C48" s="26" t="s">
        <v>59</v>
      </c>
      <c r="D48" s="27" t="s">
        <v>9</v>
      </c>
      <c r="E48" s="311" t="s">
        <v>432</v>
      </c>
      <c r="F48" s="289">
        <v>4020</v>
      </c>
    </row>
    <row r="49" spans="1:6" ht="30" customHeight="1" x14ac:dyDescent="0.2">
      <c r="A49" s="24" t="s">
        <v>55</v>
      </c>
      <c r="B49" s="8">
        <v>96402</v>
      </c>
      <c r="C49" s="5" t="s">
        <v>21</v>
      </c>
      <c r="D49" s="4" t="s">
        <v>9</v>
      </c>
      <c r="E49" s="311" t="s">
        <v>416</v>
      </c>
      <c r="F49" s="288">
        <f>F48</f>
        <v>4020</v>
      </c>
    </row>
    <row r="50" spans="1:6" ht="30" customHeight="1" x14ac:dyDescent="0.2">
      <c r="A50" s="24" t="s">
        <v>56</v>
      </c>
      <c r="B50" s="8" t="s">
        <v>355</v>
      </c>
      <c r="C50" s="5" t="s">
        <v>60</v>
      </c>
      <c r="D50" s="4" t="s">
        <v>9</v>
      </c>
      <c r="E50" s="314" t="s">
        <v>417</v>
      </c>
      <c r="F50" s="292">
        <f>F49*0.02</f>
        <v>80.400000000000006</v>
      </c>
    </row>
    <row r="51" spans="1:6" ht="30" customHeight="1" x14ac:dyDescent="0.2">
      <c r="A51" s="24" t="s">
        <v>57</v>
      </c>
      <c r="B51" s="8">
        <v>96402</v>
      </c>
      <c r="C51" s="5" t="s">
        <v>21</v>
      </c>
      <c r="D51" s="4" t="s">
        <v>9</v>
      </c>
      <c r="E51" s="311" t="s">
        <v>416</v>
      </c>
      <c r="F51" s="288">
        <f>F49</f>
        <v>4020</v>
      </c>
    </row>
    <row r="52" spans="1:6" ht="30" customHeight="1" x14ac:dyDescent="0.2">
      <c r="A52" s="24" t="s">
        <v>58</v>
      </c>
      <c r="B52" s="8" t="s">
        <v>354</v>
      </c>
      <c r="C52" s="9" t="s">
        <v>63</v>
      </c>
      <c r="D52" s="4" t="s">
        <v>11</v>
      </c>
      <c r="E52" s="314" t="s">
        <v>418</v>
      </c>
      <c r="F52" s="292">
        <f>F49*0.03</f>
        <v>120.6</v>
      </c>
    </row>
    <row r="53" spans="1:6" ht="30" customHeight="1" x14ac:dyDescent="0.2">
      <c r="A53" s="24" t="s">
        <v>61</v>
      </c>
      <c r="B53" s="10">
        <v>102330</v>
      </c>
      <c r="C53" s="11" t="s">
        <v>374</v>
      </c>
      <c r="D53" s="7" t="s">
        <v>13</v>
      </c>
      <c r="E53" s="314" t="s">
        <v>420</v>
      </c>
      <c r="F53" s="292">
        <f>(((F50*2.5548*'Composições '!E23)+('Memória de cálculo'!F52*2.5548*'Composições '!E54))+(((F51+F49)*0.45)/1000))*420</f>
        <v>14584.793812848</v>
      </c>
    </row>
    <row r="54" spans="1:6" ht="30" customHeight="1" x14ac:dyDescent="0.2">
      <c r="A54" s="24" t="s">
        <v>62</v>
      </c>
      <c r="B54" s="10">
        <v>95875</v>
      </c>
      <c r="C54" s="6" t="s">
        <v>24</v>
      </c>
      <c r="D54" s="7" t="s">
        <v>17</v>
      </c>
      <c r="E54" s="314" t="s">
        <v>421</v>
      </c>
      <c r="F54" s="288">
        <f>(F50+F52)*40</f>
        <v>8040</v>
      </c>
    </row>
    <row r="55" spans="1:6" ht="20.100000000000001" customHeight="1" x14ac:dyDescent="0.2">
      <c r="A55" s="320"/>
      <c r="B55" s="321"/>
      <c r="C55" s="321"/>
      <c r="D55" s="321"/>
      <c r="E55" s="321"/>
      <c r="F55" s="321"/>
    </row>
    <row r="56" spans="1:6" ht="20.100000000000001" customHeight="1" x14ac:dyDescent="0.2">
      <c r="A56" s="33" t="s">
        <v>201</v>
      </c>
      <c r="B56" s="318" t="s">
        <v>64</v>
      </c>
      <c r="C56" s="319"/>
      <c r="D56" s="78"/>
      <c r="E56" s="315"/>
      <c r="F56" s="298"/>
    </row>
    <row r="57" spans="1:6" ht="30" customHeight="1" x14ac:dyDescent="0.2">
      <c r="A57" s="34" t="s">
        <v>202</v>
      </c>
      <c r="B57" s="4">
        <v>102512</v>
      </c>
      <c r="C57" s="35" t="s">
        <v>196</v>
      </c>
      <c r="D57" s="4" t="s">
        <v>37</v>
      </c>
      <c r="E57" s="305" t="s">
        <v>411</v>
      </c>
      <c r="F57" s="288">
        <v>3600</v>
      </c>
    </row>
    <row r="58" spans="1:6" ht="30" customHeight="1" x14ac:dyDescent="0.2">
      <c r="A58" s="34" t="s">
        <v>203</v>
      </c>
      <c r="B58" s="4">
        <v>102512</v>
      </c>
      <c r="C58" s="35" t="s">
        <v>197</v>
      </c>
      <c r="D58" s="4" t="s">
        <v>37</v>
      </c>
      <c r="E58" s="305" t="s">
        <v>412</v>
      </c>
      <c r="F58" s="288">
        <v>6220</v>
      </c>
    </row>
    <row r="59" spans="1:6" ht="30" customHeight="1" x14ac:dyDescent="0.2">
      <c r="A59" s="34" t="s">
        <v>204</v>
      </c>
      <c r="B59" s="4">
        <v>96522</v>
      </c>
      <c r="C59" s="35" t="s">
        <v>379</v>
      </c>
      <c r="D59" s="4" t="s">
        <v>11</v>
      </c>
      <c r="E59" s="305" t="s">
        <v>413</v>
      </c>
      <c r="F59" s="288">
        <f>0.4*0.4*0.4*14</f>
        <v>0.89600000000000024</v>
      </c>
    </row>
    <row r="60" spans="1:6" ht="30" customHeight="1" x14ac:dyDescent="0.2">
      <c r="A60" s="34" t="s">
        <v>205</v>
      </c>
      <c r="B60" s="4">
        <v>96616</v>
      </c>
      <c r="C60" s="35" t="s">
        <v>380</v>
      </c>
      <c r="D60" s="4" t="s">
        <v>11</v>
      </c>
      <c r="E60" s="305" t="s">
        <v>413</v>
      </c>
      <c r="F60" s="288">
        <f>0.4*0.4*0.4*14</f>
        <v>0.89600000000000024</v>
      </c>
    </row>
    <row r="61" spans="1:6" ht="30" customHeight="1" x14ac:dyDescent="0.2">
      <c r="A61" s="34" t="s">
        <v>377</v>
      </c>
      <c r="B61" s="8">
        <v>34723</v>
      </c>
      <c r="C61" s="5" t="s">
        <v>65</v>
      </c>
      <c r="D61" s="4" t="s">
        <v>9</v>
      </c>
      <c r="E61" s="305" t="s">
        <v>415</v>
      </c>
      <c r="F61" s="288">
        <f>0.435*4+(10*0.4*0.4*3.14)</f>
        <v>6.7640000000000011</v>
      </c>
    </row>
    <row r="62" spans="1:6" ht="30" customHeight="1" x14ac:dyDescent="0.2">
      <c r="A62" s="34" t="s">
        <v>378</v>
      </c>
      <c r="B62" s="8">
        <v>7701</v>
      </c>
      <c r="C62" s="5" t="s">
        <v>66</v>
      </c>
      <c r="D62" s="4" t="s">
        <v>37</v>
      </c>
      <c r="E62" s="305" t="s">
        <v>414</v>
      </c>
      <c r="F62" s="288">
        <f>14*3</f>
        <v>42</v>
      </c>
    </row>
    <row r="64" spans="1:6" x14ac:dyDescent="0.2">
      <c r="A64" s="1" t="s">
        <v>208</v>
      </c>
    </row>
    <row r="65" spans="3:7" x14ac:dyDescent="0.2">
      <c r="C65" s="85"/>
      <c r="F65" s="294"/>
    </row>
    <row r="66" spans="3:7" x14ac:dyDescent="0.2">
      <c r="F66" s="294"/>
    </row>
    <row r="68" spans="3:7" x14ac:dyDescent="0.2">
      <c r="C68" s="169"/>
    </row>
    <row r="69" spans="3:7" x14ac:dyDescent="0.2">
      <c r="C69" s="86" t="s">
        <v>209</v>
      </c>
      <c r="F69" s="300"/>
      <c r="G69" s="28"/>
    </row>
    <row r="70" spans="3:7" x14ac:dyDescent="0.2">
      <c r="C70" s="86" t="s">
        <v>210</v>
      </c>
      <c r="F70" s="294"/>
    </row>
    <row r="71" spans="3:7" x14ac:dyDescent="0.2">
      <c r="F71" s="294"/>
    </row>
  </sheetData>
  <mergeCells count="6">
    <mergeCell ref="B56:C56"/>
    <mergeCell ref="A15:F15"/>
    <mergeCell ref="A26:F26"/>
    <mergeCell ref="A35:F35"/>
    <mergeCell ref="A46:F46"/>
    <mergeCell ref="A55:F55"/>
  </mergeCells>
  <conditionalFormatting sqref="B37 B53 B44 B57:B60 B30:B34">
    <cfRule type="expression" dxfId="0" priority="97" stopIfTrue="1">
      <formula>OR(#REF!="M",#REF!="A")</formula>
    </cfRule>
  </conditionalFormatting>
  <pageMargins left="0.51181102362204722" right="0.31496062992125984" top="0.98425196850393704" bottom="0.98425196850393704" header="0.31496062992125984" footer="0.31496062992125984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</vt:lpstr>
      <vt:lpstr>Cronograma</vt:lpstr>
      <vt:lpstr>BDI</vt:lpstr>
      <vt:lpstr>Composições </vt:lpstr>
      <vt:lpstr>Memória de cálculo</vt:lpstr>
      <vt:lpstr>'Composições '!Area_de_impressao</vt:lpstr>
      <vt:lpstr>Cronograma!Area_de_impressao</vt:lpstr>
      <vt:lpstr>'Memória de cálculo'!Area_de_impressao</vt:lpstr>
      <vt:lpstr>'Orçamento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Joanir</dc:creator>
  <cp:lastModifiedBy>user01</cp:lastModifiedBy>
  <cp:lastPrinted>2022-08-16T15:30:21Z</cp:lastPrinted>
  <dcterms:created xsi:type="dcterms:W3CDTF">2021-02-26T12:11:56Z</dcterms:created>
  <dcterms:modified xsi:type="dcterms:W3CDTF">2022-08-18T16:45:33Z</dcterms:modified>
</cp:coreProperties>
</file>